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BuÇalışmaKitabı" autoCompressPictures="0" defaultThemeVersion="124226"/>
  <mc:AlternateContent xmlns:mc="http://schemas.openxmlformats.org/markup-compatibility/2006">
    <mc:Choice Requires="x15">
      <x15ac:absPath xmlns:x15ac="http://schemas.microsoft.com/office/spreadsheetml/2010/11/ac" url="D:\Arif Gürer\Web Sayfası\Ödenekler Hesabı\01 - Genel Çalışmalar\Ödenekler Hesabı\"/>
    </mc:Choice>
  </mc:AlternateContent>
  <xr:revisionPtr revIDLastSave="0" documentId="13_ncr:1_{CB63FA1B-93F4-4D0C-9CF4-9F7ECAB095DC}" xr6:coauthVersionLast="47" xr6:coauthVersionMax="47" xr10:uidLastSave="{00000000-0000-0000-0000-000000000000}"/>
  <workbookProtection workbookAlgorithmName="SHA-512" workbookHashValue="RMu3O9p7e2F3U6m9+YHVaWuyK1TO3Qa6VR4d0nNdgHGW1wuTY1BrCc18+6uJUHG4KJVAJ+6Z7o20nEwsOgflnA==" workbookSaltValue="yUad2Y2ViXDLZPVAcKlQTg=="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8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D17" i="130" l="1"/>
  <c r="AD11" i="130" s="1"/>
  <c r="AE26" i="130"/>
  <c r="AD26" i="130"/>
  <c r="AE25" i="130"/>
  <c r="AD25" i="130"/>
  <c r="AE24" i="130"/>
  <c r="AD24" i="130"/>
  <c r="AE22" i="130"/>
  <c r="AD21" i="130"/>
  <c r="AD20" i="130"/>
  <c r="AD19" i="130"/>
  <c r="AD18" i="130"/>
  <c r="AD15" i="130"/>
  <c r="AD13" i="130"/>
  <c r="AD14" i="130" s="1"/>
  <c r="AD12" i="130"/>
  <c r="AG10" i="130"/>
  <c r="AF10" i="130"/>
  <c r="AG9" i="130"/>
  <c r="AF9" i="130"/>
  <c r="AD9" i="130"/>
  <c r="AG8" i="130"/>
  <c r="AF8" i="130"/>
  <c r="AG7" i="130"/>
  <c r="AF7" i="130"/>
  <c r="AD3" i="130"/>
  <c r="AD2" i="130"/>
  <c r="AD1" i="130"/>
  <c r="BS20" i="130"/>
  <c r="BS21" i="130"/>
  <c r="BS22" i="130"/>
  <c r="BS23" i="130"/>
  <c r="BS24" i="130"/>
  <c r="BS25" i="130"/>
  <c r="CC1" i="130"/>
  <c r="CC2" i="130"/>
  <c r="CC3" i="130"/>
  <c r="CC4" i="130"/>
  <c r="CC5" i="130"/>
  <c r="BS19" i="130"/>
  <c r="BP20" i="130"/>
  <c r="BP21" i="130"/>
  <c r="BP22" i="130"/>
  <c r="BP23" i="130"/>
  <c r="BP24" i="130"/>
  <c r="BP25" i="130"/>
  <c r="BZ1" i="130"/>
  <c r="BZ2" i="130"/>
  <c r="BZ3" i="130"/>
  <c r="BZ4" i="130"/>
  <c r="BZ5" i="130"/>
  <c r="BP19" i="130"/>
  <c r="AI6" i="130"/>
  <c r="AI7" i="130"/>
  <c r="AI8" i="130"/>
  <c r="AI9" i="130"/>
  <c r="AI10" i="130"/>
  <c r="AI11" i="130"/>
  <c r="AI12" i="130"/>
  <c r="AY5" i="130"/>
  <c r="AY6" i="130"/>
  <c r="AY7" i="130"/>
  <c r="AY8" i="130"/>
  <c r="AI5" i="130"/>
  <c r="AH6" i="130"/>
  <c r="AH7" i="130"/>
  <c r="AH8" i="130"/>
  <c r="AH9" i="130"/>
  <c r="AH10" i="130"/>
  <c r="AH11" i="130"/>
  <c r="AH12" i="130"/>
  <c r="AX5" i="130"/>
  <c r="AX6" i="130"/>
  <c r="AX7" i="130"/>
  <c r="AX8" i="130"/>
  <c r="AH5" i="130"/>
  <c r="AG3" i="130" l="1"/>
  <c r="AG17" i="130"/>
  <c r="AF3" i="130"/>
  <c r="AG14" i="130"/>
  <c r="AG6" i="130" s="1"/>
  <c r="AF14" i="130"/>
  <c r="AF6" i="130" s="1"/>
  <c r="AG1" i="130"/>
  <c r="AF21" i="130"/>
  <c r="AG2" i="130"/>
  <c r="AG21" i="130"/>
  <c r="AF2" i="130"/>
  <c r="AD22" i="130"/>
  <c r="AF22" i="130" s="1"/>
  <c r="AG20" i="130"/>
  <c r="AF1" i="130"/>
  <c r="AF12" i="130"/>
  <c r="AF4" i="130" s="1"/>
  <c r="AG12" i="130"/>
  <c r="AG4" i="130" s="1"/>
  <c r="AF20" i="130"/>
  <c r="AF18" i="130"/>
  <c r="AF11" i="130"/>
  <c r="AF13" i="130"/>
  <c r="AG18" i="130"/>
  <c r="AG11" i="130"/>
  <c r="AG13" i="130"/>
  <c r="AF19" i="130"/>
  <c r="AF17" i="130"/>
  <c r="AG19" i="130"/>
  <c r="BU20" i="130"/>
  <c r="BU21" i="130"/>
  <c r="BU22" i="130"/>
  <c r="BU23" i="130"/>
  <c r="BU24" i="130"/>
  <c r="BU25" i="130"/>
  <c r="CE1" i="130"/>
  <c r="CE2" i="130"/>
  <c r="CE3" i="130"/>
  <c r="CE4" i="130"/>
  <c r="CE5" i="130"/>
  <c r="BU19" i="130"/>
  <c r="H27" i="130"/>
  <c r="BH20" i="130"/>
  <c r="BH21" i="130"/>
  <c r="BH22" i="130"/>
  <c r="BH23" i="130"/>
  <c r="BH24" i="130"/>
  <c r="BH25" i="130"/>
  <c r="BR1" i="130"/>
  <c r="BR2" i="130"/>
  <c r="BR3" i="130"/>
  <c r="BR4" i="130"/>
  <c r="BR5" i="130"/>
  <c r="BH19" i="130"/>
  <c r="AW12" i="130"/>
  <c r="AW13" i="130"/>
  <c r="AW14" i="130"/>
  <c r="AU4" i="130" s="1"/>
  <c r="AW15" i="130"/>
  <c r="AW16" i="130"/>
  <c r="AW17" i="130"/>
  <c r="BH11" i="130" s="1"/>
  <c r="AW18" i="130"/>
  <c r="BH12" i="130" s="1"/>
  <c r="AW19" i="130"/>
  <c r="BH13" i="130" s="1"/>
  <c r="AW20" i="130"/>
  <c r="BH14" i="130" s="1"/>
  <c r="AW21" i="130"/>
  <c r="BH15" i="130" s="1"/>
  <c r="AW22" i="130"/>
  <c r="BH16" i="130" s="1"/>
  <c r="AW11" i="130"/>
  <c r="AU1" i="130" s="1"/>
  <c r="AX12" i="130"/>
  <c r="AX13" i="130"/>
  <c r="AX14" i="130"/>
  <c r="AX15" i="130"/>
  <c r="AX16" i="130"/>
  <c r="AX17" i="130"/>
  <c r="AX18" i="130"/>
  <c r="AX19" i="130"/>
  <c r="AX20" i="130"/>
  <c r="AX21" i="130"/>
  <c r="AX22" i="130"/>
  <c r="AX11" i="130"/>
  <c r="AR22" i="130"/>
  <c r="AR21" i="130"/>
  <c r="AR20" i="130"/>
  <c r="AR19" i="130"/>
  <c r="AR18" i="130"/>
  <c r="AR17" i="130"/>
  <c r="AR16" i="130"/>
  <c r="AR15" i="130"/>
  <c r="AR14" i="130"/>
  <c r="AR13" i="130"/>
  <c r="AR12" i="130"/>
  <c r="AR11" i="130"/>
  <c r="AP22" i="130"/>
  <c r="AP21" i="130"/>
  <c r="AP20" i="130"/>
  <c r="AP19" i="130"/>
  <c r="AP18" i="130"/>
  <c r="AP17" i="130"/>
  <c r="AP16" i="130"/>
  <c r="AP15" i="130"/>
  <c r="AP14" i="130"/>
  <c r="AP13" i="130"/>
  <c r="AP12" i="130"/>
  <c r="AP11" i="130"/>
  <c r="AN12" i="130"/>
  <c r="AN13" i="130"/>
  <c r="AN14" i="130"/>
  <c r="AN15" i="130"/>
  <c r="AN16" i="130"/>
  <c r="AN11" i="130"/>
  <c r="AN18" i="130"/>
  <c r="AN19" i="130"/>
  <c r="AN20" i="130"/>
  <c r="AN21" i="130"/>
  <c r="AN22" i="130"/>
  <c r="AN17" i="130"/>
  <c r="B1" i="130"/>
  <c r="AU2" i="130"/>
  <c r="AU3" i="130"/>
  <c r="BH9" i="130"/>
  <c r="BH10" i="130"/>
  <c r="CE15" i="130"/>
  <c r="CD15" i="130"/>
  <c r="BI6" i="130"/>
  <c r="BI5" i="130"/>
  <c r="BI4" i="130"/>
  <c r="BI3" i="130"/>
  <c r="BI2" i="130"/>
  <c r="BI1" i="130"/>
  <c r="AS10" i="130"/>
  <c r="AS9" i="130"/>
  <c r="AS8" i="130"/>
  <c r="AS7" i="130"/>
  <c r="AS6" i="130"/>
  <c r="AS5" i="130"/>
  <c r="BH2" i="130"/>
  <c r="BH3" i="130"/>
  <c r="BH4" i="130"/>
  <c r="BJ4" i="130" s="1"/>
  <c r="BH5" i="130"/>
  <c r="BH6" i="130"/>
  <c r="BH1" i="130"/>
  <c r="AR6" i="130"/>
  <c r="AR7" i="130"/>
  <c r="AR8" i="130"/>
  <c r="AR9" i="130"/>
  <c r="AR10" i="130"/>
  <c r="AR5" i="130"/>
  <c r="AT5" i="130" s="1"/>
  <c r="AG22" i="130" l="1"/>
  <c r="AG23" i="130" s="1"/>
  <c r="AF15" i="130"/>
  <c r="AF16" i="130" s="1"/>
  <c r="AF5" i="130"/>
  <c r="AF23" i="130"/>
  <c r="AG15" i="130"/>
  <c r="AG16" i="130" s="1"/>
  <c r="AG5" i="130"/>
  <c r="CC6" i="130"/>
  <c r="CC7" i="130" s="1"/>
  <c r="BJ5" i="130"/>
  <c r="BJ6" i="130"/>
  <c r="AT1" i="130"/>
  <c r="BG16" i="130"/>
  <c r="BG15" i="130"/>
  <c r="BG14" i="130"/>
  <c r="BG13" i="130"/>
  <c r="BG12" i="130"/>
  <c r="BG11" i="130"/>
  <c r="BG10" i="130"/>
  <c r="BG9" i="130"/>
  <c r="AT4" i="130"/>
  <c r="AT3" i="130"/>
  <c r="AT2" i="130"/>
  <c r="AT8" i="130"/>
  <c r="BJ1" i="130"/>
  <c r="AT6" i="130"/>
  <c r="AT9" i="130"/>
  <c r="AT10" i="130"/>
  <c r="BJ3" i="130"/>
  <c r="BJ2" i="130"/>
  <c r="AT7" i="130"/>
  <c r="Y2" i="130"/>
  <c r="BK20" i="130" l="1"/>
  <c r="BK21" i="130"/>
  <c r="BK22" i="130"/>
  <c r="BK23" i="130"/>
  <c r="BK24" i="130"/>
  <c r="BK25" i="130"/>
  <c r="BU1" i="130"/>
  <c r="BU2" i="130"/>
  <c r="BU3" i="130"/>
  <c r="BU4" i="130"/>
  <c r="BU5" i="130"/>
  <c r="BK19" i="130"/>
  <c r="BJ20" i="130"/>
  <c r="BJ21" i="130"/>
  <c r="BJ22" i="130"/>
  <c r="BJ23" i="130"/>
  <c r="BJ24" i="130"/>
  <c r="BJ25" i="130"/>
  <c r="BT1" i="130"/>
  <c r="BT2" i="130"/>
  <c r="BT3" i="130"/>
  <c r="BT4" i="130"/>
  <c r="BT5" i="130"/>
  <c r="BJ19" i="130"/>
  <c r="BI20" i="130"/>
  <c r="BI21" i="130"/>
  <c r="BI22" i="130"/>
  <c r="BI23" i="130"/>
  <c r="BI24" i="130"/>
  <c r="BI25" i="130"/>
  <c r="BS1" i="130"/>
  <c r="BS2" i="130"/>
  <c r="BS3" i="130"/>
  <c r="BS4" i="130"/>
  <c r="BS5" i="130"/>
  <c r="BI19" i="130"/>
  <c r="BA2" i="130"/>
  <c r="BA3" i="130"/>
  <c r="BA4" i="130"/>
  <c r="BN9" i="130"/>
  <c r="BN10" i="130"/>
  <c r="BN11" i="130"/>
  <c r="BN12" i="130"/>
  <c r="BN13" i="130"/>
  <c r="BN14" i="130"/>
  <c r="BN15" i="130"/>
  <c r="BN16" i="130"/>
  <c r="BA1" i="130"/>
  <c r="BJ12" i="130"/>
  <c r="BJ13" i="130"/>
  <c r="BJ14" i="130"/>
  <c r="BJ15" i="130"/>
  <c r="BJ16" i="130"/>
  <c r="BJ11" i="130"/>
  <c r="BY10" i="130" s="1"/>
  <c r="AW2" i="130"/>
  <c r="AP2" i="130" s="1"/>
  <c r="AW3" i="130"/>
  <c r="AP3" i="130" s="1"/>
  <c r="AW4" i="130"/>
  <c r="AP4" i="130" s="1"/>
  <c r="BJ9" i="130"/>
  <c r="BY8" i="130" s="1"/>
  <c r="BJ10" i="130"/>
  <c r="BY9" i="130" s="1"/>
  <c r="AW1" i="130"/>
  <c r="AP1" i="130" s="1"/>
  <c r="BM20" i="130"/>
  <c r="BC13" i="130"/>
  <c r="BM22" i="130"/>
  <c r="BM23" i="130"/>
  <c r="BM24" i="130"/>
  <c r="BM25" i="130"/>
  <c r="BW1" i="130"/>
  <c r="BW2" i="130"/>
  <c r="BW3" i="130"/>
  <c r="BW4" i="130"/>
  <c r="BW5" i="130"/>
  <c r="BM19" i="130"/>
  <c r="AL6" i="130"/>
  <c r="AM6" i="130" s="1"/>
  <c r="AL7" i="130"/>
  <c r="AM7" i="130" s="1"/>
  <c r="AL8" i="130"/>
  <c r="AM8" i="130" s="1"/>
  <c r="AL9" i="130"/>
  <c r="AM9" i="130" s="1"/>
  <c r="AL10" i="130"/>
  <c r="AM10" i="130" s="1"/>
  <c r="AL11" i="130"/>
  <c r="AM11" i="130" s="1"/>
  <c r="AL12" i="130"/>
  <c r="AM12" i="130" s="1"/>
  <c r="BB5" i="130"/>
  <c r="BC5" i="130" s="1"/>
  <c r="BB6" i="130"/>
  <c r="BC6" i="130" s="1"/>
  <c r="BB7" i="130"/>
  <c r="BC7" i="130" s="1"/>
  <c r="BB8" i="130"/>
  <c r="BC8" i="130" s="1"/>
  <c r="CQ13" i="130" s="1"/>
  <c r="AL5" i="130"/>
  <c r="AV25" i="130" l="1"/>
  <c r="BY14" i="130"/>
  <c r="BY13" i="130"/>
  <c r="BY12" i="130"/>
  <c r="BY11" i="130"/>
  <c r="AM5" i="130"/>
  <c r="CQ2" i="130" s="1"/>
  <c r="CQ12" i="130"/>
  <c r="CQ11" i="130"/>
  <c r="CQ10" i="130"/>
  <c r="CQ9" i="130"/>
  <c r="CQ8" i="130"/>
  <c r="CQ7" i="130"/>
  <c r="CQ6" i="130"/>
  <c r="CQ5" i="130"/>
  <c r="CQ4" i="130"/>
  <c r="CQ3" i="130"/>
  <c r="BA21" i="130"/>
  <c r="BD13" i="130"/>
  <c r="BM21" i="130"/>
  <c r="BA17" i="130"/>
  <c r="BA13" i="130"/>
  <c r="BD21" i="130"/>
  <c r="BD17" i="130"/>
  <c r="BC21" i="130"/>
  <c r="BC17" i="130"/>
  <c r="BA11" i="130"/>
  <c r="BD11" i="130"/>
  <c r="BC11" i="130"/>
  <c r="BA22" i="130"/>
  <c r="BD22" i="130"/>
  <c r="BC22" i="130"/>
  <c r="BA20" i="130"/>
  <c r="BD20" i="130"/>
  <c r="BC20" i="130"/>
  <c r="BA19" i="130"/>
  <c r="BD19" i="130"/>
  <c r="BC19" i="130"/>
  <c r="BA18" i="130"/>
  <c r="BD18" i="130"/>
  <c r="BC18" i="130"/>
  <c r="BA16" i="130"/>
  <c r="BD16" i="130"/>
  <c r="BC16" i="130"/>
  <c r="BA15" i="130"/>
  <c r="BD15" i="130"/>
  <c r="BC15" i="130"/>
  <c r="BA14" i="130"/>
  <c r="BD14" i="130"/>
  <c r="BC14" i="130"/>
  <c r="BA12" i="130"/>
  <c r="BD12" i="130"/>
  <c r="BC12" i="130"/>
  <c r="AV3" i="130"/>
  <c r="AV2" i="130"/>
  <c r="BI11" i="130"/>
  <c r="AO7" i="130" l="1"/>
  <c r="AO5" i="130"/>
  <c r="BE2" i="130"/>
  <c r="AO6" i="130"/>
  <c r="AO9" i="130"/>
  <c r="BE1" i="130"/>
  <c r="BE6" i="130"/>
  <c r="AO8" i="130"/>
  <c r="BE4" i="130"/>
  <c r="BE5" i="130"/>
  <c r="BE3" i="130"/>
  <c r="AO10" i="130"/>
  <c r="BI13" i="130"/>
  <c r="BI14" i="130"/>
  <c r="BI9" i="130"/>
  <c r="BI10" i="130"/>
  <c r="BI16" i="130"/>
  <c r="BI12" i="130"/>
  <c r="AV4" i="130"/>
  <c r="BI15" i="130"/>
  <c r="AX1" i="130"/>
  <c r="AV1" i="130"/>
  <c r="AZ1" i="130" l="1"/>
  <c r="AY1" i="130"/>
  <c r="CZ3" i="130" l="1"/>
  <c r="CZ4" i="130"/>
  <c r="CZ5" i="130"/>
  <c r="CZ6" i="130"/>
  <c r="CZ7" i="130"/>
  <c r="CZ8" i="130"/>
  <c r="CD9" i="130"/>
  <c r="CD10" i="130"/>
  <c r="CD11" i="130"/>
  <c r="CD12" i="130"/>
  <c r="CD13" i="130"/>
  <c r="CZ2" i="130"/>
  <c r="CT1" i="130"/>
  <c r="CS1" i="130"/>
  <c r="AK2" i="130"/>
  <c r="AL2" i="130" s="1"/>
  <c r="AK3" i="130"/>
  <c r="AK4" i="130"/>
  <c r="BT8" i="130"/>
  <c r="BU8" i="130" s="1"/>
  <c r="BT9" i="130"/>
  <c r="BU9" i="130" s="1"/>
  <c r="BT10" i="130"/>
  <c r="BT11" i="130"/>
  <c r="BU11" i="130" s="1"/>
  <c r="BT12" i="130"/>
  <c r="BU12" i="130" s="1"/>
  <c r="BT13" i="130"/>
  <c r="BT14" i="130"/>
  <c r="BU14" i="130" s="1"/>
  <c r="AQ25" i="130"/>
  <c r="AR25" i="130" s="1"/>
  <c r="AK1" i="130"/>
  <c r="BI7" i="130"/>
  <c r="BI8" i="130" s="1"/>
  <c r="BH7" i="130"/>
  <c r="BH8" i="130" s="1"/>
  <c r="AR23" i="130"/>
  <c r="AR24" i="130" s="1"/>
  <c r="AP23" i="130"/>
  <c r="AP24" i="130" s="1"/>
  <c r="BG17" i="130" l="1"/>
  <c r="BG18" i="130" s="1"/>
  <c r="AL3" i="130"/>
  <c r="AQ26" i="130"/>
  <c r="AQ27" i="130" s="1"/>
  <c r="AL1" i="130"/>
  <c r="BU13" i="130"/>
  <c r="BU10" i="130"/>
  <c r="AL4" i="130"/>
  <c r="F27" i="130" l="1"/>
  <c r="E27" i="130"/>
  <c r="D27" i="130"/>
  <c r="BY6" i="130"/>
  <c r="BP6" i="130"/>
  <c r="G27" i="130"/>
  <c r="CB17" i="130"/>
  <c r="CB18" i="130"/>
  <c r="CB19" i="130"/>
  <c r="CB20" i="130"/>
  <c r="CB21" i="130"/>
  <c r="CB22" i="130"/>
  <c r="CB23" i="130"/>
  <c r="CB24" i="130"/>
  <c r="CB25" i="130"/>
  <c r="CB26" i="130"/>
  <c r="CB27" i="130"/>
  <c r="CB16" i="130"/>
  <c r="AV6" i="130"/>
  <c r="AV7" i="130"/>
  <c r="AV8" i="130"/>
  <c r="AV9" i="130"/>
  <c r="AV10" i="130"/>
  <c r="BL1" i="130"/>
  <c r="BL2" i="130"/>
  <c r="BL3" i="130"/>
  <c r="BL4" i="130"/>
  <c r="BL5" i="130"/>
  <c r="BL6" i="130"/>
  <c r="AV5" i="130"/>
  <c r="AW5" i="130" s="1"/>
  <c r="CJ24" i="130"/>
  <c r="CJ26" i="130"/>
  <c r="CJ27" i="130"/>
  <c r="CJ17" i="130"/>
  <c r="BY17" i="130"/>
  <c r="BW16" i="130" l="1"/>
  <c r="BV16" i="130"/>
  <c r="BJ17" i="130"/>
  <c r="BJ18" i="130" s="1"/>
  <c r="BL7" i="130"/>
  <c r="BL8" i="130" s="1"/>
  <c r="CB28" i="130"/>
  <c r="CB29" i="130" s="1"/>
  <c r="BN17" i="130"/>
  <c r="BN18" i="130" s="1"/>
  <c r="AW9" i="130"/>
  <c r="BM3" i="130"/>
  <c r="BM5" i="130"/>
  <c r="BM6" i="130"/>
  <c r="CJ25" i="130"/>
  <c r="CJ23" i="130"/>
  <c r="CJ22" i="130"/>
  <c r="CJ21" i="130"/>
  <c r="CJ20" i="130"/>
  <c r="CJ19" i="130"/>
  <c r="CJ18" i="130"/>
  <c r="CJ16" i="130"/>
  <c r="BM4" i="130"/>
  <c r="AW10" i="130"/>
  <c r="BK2" i="130"/>
  <c r="BM2" i="130"/>
  <c r="BM1" i="130"/>
  <c r="AW8" i="130"/>
  <c r="AW7" i="130"/>
  <c r="AW6" i="130"/>
  <c r="BO3" i="130" l="1"/>
  <c r="BN3" i="130"/>
  <c r="BO2" i="130"/>
  <c r="BN2" i="130"/>
  <c r="BO5" i="130"/>
  <c r="BN5" i="130"/>
  <c r="BW20" i="130"/>
  <c r="BV20" i="130"/>
  <c r="BO1" i="130"/>
  <c r="BN1" i="130"/>
  <c r="BW19" i="130"/>
  <c r="BV19" i="130"/>
  <c r="BO6" i="130"/>
  <c r="BN6" i="130"/>
  <c r="BW21" i="130"/>
  <c r="BV21" i="130"/>
  <c r="BW17" i="130"/>
  <c r="BV17" i="130"/>
  <c r="BW18" i="130"/>
  <c r="BV18" i="130"/>
  <c r="BO4" i="130"/>
  <c r="BN4" i="130"/>
  <c r="BM7" i="130"/>
  <c r="BM8" i="130" s="1"/>
  <c r="CJ28" i="130"/>
  <c r="CJ29" i="130" s="1"/>
  <c r="BK5" i="130"/>
  <c r="BK1" i="130"/>
  <c r="BK4" i="130"/>
  <c r="BK3" i="130"/>
  <c r="BK6" i="130"/>
  <c r="AX9" i="130" l="1"/>
  <c r="AX10" i="130" s="1"/>
  <c r="AY9" i="130"/>
  <c r="AY10" i="130" s="1"/>
  <c r="AU10" i="130" l="1"/>
  <c r="AU9" i="130"/>
  <c r="AU8" i="130"/>
  <c r="AU7" i="130"/>
  <c r="AU6" i="130"/>
  <c r="AU5" i="130"/>
  <c r="BJ7" i="130" l="1"/>
  <c r="BJ8" i="130" s="1"/>
  <c r="AR26" i="130"/>
  <c r="AR27" i="130" s="1"/>
  <c r="BK7" i="130"/>
  <c r="BK8" i="130" s="1"/>
  <c r="BO7" i="130" l="1"/>
  <c r="BO8" i="130" s="1"/>
  <c r="CC16" i="130"/>
  <c r="CK16" i="130"/>
  <c r="CD16" i="130" l="1"/>
  <c r="AI13" i="130"/>
  <c r="AH14" i="130" s="1"/>
  <c r="AJ13" i="130" l="1"/>
  <c r="AU11" i="130" s="1"/>
  <c r="AK13" i="130"/>
  <c r="AL13" i="130" l="1"/>
  <c r="AI14" i="130"/>
  <c r="AH15" i="130" s="1"/>
  <c r="AJ14" i="130" l="1"/>
  <c r="AU12" i="130" s="1"/>
  <c r="AK14" i="130"/>
  <c r="AL14" i="130" l="1"/>
  <c r="AI15" i="130"/>
  <c r="AH16" i="130" s="1"/>
  <c r="AJ15" i="130" l="1"/>
  <c r="AU13" i="130" s="1"/>
  <c r="AK15" i="130"/>
  <c r="AL15" i="130" l="1"/>
  <c r="AI16" i="130"/>
  <c r="AH17" i="130" s="1"/>
  <c r="AJ16" i="130" l="1"/>
  <c r="AU14" i="130" s="1"/>
  <c r="AK16" i="130"/>
  <c r="AL16" i="130" l="1"/>
  <c r="AI17" i="130"/>
  <c r="AH18" i="130" s="1"/>
  <c r="AJ17" i="130" l="1"/>
  <c r="AU15" i="130" s="1"/>
  <c r="AK17" i="130"/>
  <c r="AL17" i="130" l="1"/>
  <c r="AI18" i="130"/>
  <c r="AH19" i="130" s="1"/>
  <c r="AK18" i="130" l="1"/>
  <c r="AJ18" i="130"/>
  <c r="AU16" i="130" s="1"/>
  <c r="AL18" i="130" l="1"/>
  <c r="AI19" i="130"/>
  <c r="AH20" i="130" s="1"/>
  <c r="AK19" i="130" l="1"/>
  <c r="AJ19" i="130"/>
  <c r="AU17" i="130" s="1"/>
  <c r="AL19" i="130" l="1"/>
  <c r="AI20" i="130"/>
  <c r="AH21" i="130" s="1"/>
  <c r="AJ20" i="130" l="1"/>
  <c r="AU18" i="130" s="1"/>
  <c r="AK20" i="130"/>
  <c r="AL20" i="130" l="1"/>
  <c r="AI21" i="130"/>
  <c r="AH22" i="130" s="1"/>
  <c r="AJ21" i="130" l="1"/>
  <c r="AU19" i="130" s="1"/>
  <c r="AK21" i="130"/>
  <c r="AL21" i="130" l="1"/>
  <c r="AI22" i="130"/>
  <c r="AH23" i="130" s="1"/>
  <c r="AK22" i="130" l="1"/>
  <c r="AJ22" i="130"/>
  <c r="AU20" i="130" s="1"/>
  <c r="AL22" i="130" l="1"/>
  <c r="AI23" i="130"/>
  <c r="AH24" i="130" s="1"/>
  <c r="AK23" i="130" l="1"/>
  <c r="AJ23" i="130"/>
  <c r="AU21" i="130" s="1"/>
  <c r="AL23" i="130" l="1"/>
  <c r="AI24" i="130"/>
  <c r="AJ24" i="130" l="1"/>
  <c r="AU22" i="130" s="1"/>
  <c r="AK24" i="130"/>
  <c r="AK25" i="130" s="1"/>
  <c r="AJ25" i="130" l="1"/>
  <c r="AL24" i="130"/>
  <c r="AL25" i="130" s="1"/>
  <c r="BY20" i="130" l="1"/>
  <c r="BY19" i="130"/>
  <c r="BY18" i="130"/>
  <c r="CA17" i="130" l="1"/>
  <c r="CA18" i="130" s="1"/>
  <c r="CA19" i="130" s="1"/>
  <c r="CA20" i="130" s="1"/>
  <c r="CC21" i="130" l="1"/>
  <c r="CK21" i="130"/>
  <c r="CC19" i="130"/>
  <c r="CK19" i="130"/>
  <c r="CC17" i="130"/>
  <c r="CK17" i="130"/>
  <c r="CD17" i="130" l="1"/>
  <c r="CE17" i="130" s="1"/>
  <c r="CC18" i="130"/>
  <c r="CD19" i="130" s="1"/>
  <c r="CE19" i="130" s="1"/>
  <c r="CK18" i="130"/>
  <c r="CC20" i="130"/>
  <c r="CD21" i="130" s="1"/>
  <c r="CE21" i="130" s="1"/>
  <c r="CK20" i="130"/>
  <c r="CD20" i="130" l="1"/>
  <c r="CE20" i="130" s="1"/>
  <c r="CD18" i="130"/>
  <c r="CE18" i="130" s="1"/>
  <c r="CC22" i="130"/>
  <c r="CD22" i="130" s="1"/>
  <c r="CE22" i="130" s="1"/>
  <c r="CK22" i="130"/>
  <c r="CC26" i="130" l="1"/>
  <c r="CK26" i="130"/>
  <c r="CC24" i="130"/>
  <c r="CK24" i="130"/>
  <c r="CC25" i="130"/>
  <c r="CK25" i="130"/>
  <c r="CC23" i="130"/>
  <c r="CK23" i="130"/>
  <c r="CK27" i="130"/>
  <c r="CD26" i="130" l="1"/>
  <c r="CE26" i="130" s="1"/>
  <c r="CD25" i="130"/>
  <c r="CE25" i="130" s="1"/>
  <c r="CK28" i="130"/>
  <c r="CK29" i="130" s="1"/>
  <c r="BN7" i="130"/>
  <c r="BN8" i="130" s="1"/>
  <c r="CD23" i="130"/>
  <c r="CE23" i="130" s="1"/>
  <c r="CD24" i="130"/>
  <c r="CE24" i="130" s="1"/>
  <c r="CC27" i="130"/>
  <c r="CC28" i="130" l="1"/>
  <c r="CC29" i="130" s="1"/>
  <c r="CD27" i="130"/>
  <c r="CE27" i="130" s="1"/>
  <c r="CF27" i="130" s="1"/>
  <c r="CG27" i="130" s="1"/>
  <c r="CH27" i="130" s="1"/>
  <c r="CE16" i="130"/>
  <c r="CF16" i="130" s="1"/>
  <c r="CG16" i="130" s="1"/>
  <c r="CH16" i="130" s="1"/>
  <c r="CF18" i="130"/>
  <c r="CG18" i="130" s="1"/>
  <c r="CH18" i="130" s="1"/>
  <c r="CF19" i="130"/>
  <c r="CG19" i="130" s="1"/>
  <c r="CH19" i="130" s="1"/>
  <c r="CF20" i="130"/>
  <c r="CG20" i="130" s="1"/>
  <c r="CH20" i="130" s="1"/>
  <c r="CF21" i="130"/>
  <c r="CG21" i="130" s="1"/>
  <c r="CH21" i="130" s="1"/>
  <c r="CF22" i="130"/>
  <c r="CG22" i="130" s="1"/>
  <c r="CH22" i="130" s="1"/>
  <c r="CF23" i="130"/>
  <c r="CG23" i="130" s="1"/>
  <c r="CH23" i="130" s="1"/>
  <c r="CF24" i="130"/>
  <c r="CG24" i="130" s="1"/>
  <c r="CH24" i="130" s="1"/>
  <c r="CF25" i="130"/>
  <c r="CG25" i="130" s="1"/>
  <c r="CH25" i="130" s="1"/>
  <c r="CF26" i="130"/>
  <c r="CG26" i="130" s="1"/>
  <c r="CH26" i="130" s="1"/>
  <c r="CB10" i="130" l="1"/>
  <c r="CI24" i="130"/>
  <c r="CB9" i="130"/>
  <c r="CI23" i="130"/>
  <c r="CX6" i="130"/>
  <c r="CI20" i="130"/>
  <c r="CB11" i="130"/>
  <c r="CI25" i="130"/>
  <c r="CX8" i="130"/>
  <c r="CI22" i="130"/>
  <c r="CX4" i="130"/>
  <c r="CI18" i="130"/>
  <c r="CX2" i="130"/>
  <c r="CI16" i="130"/>
  <c r="CB12" i="130"/>
  <c r="CI26" i="130"/>
  <c r="CX7" i="130"/>
  <c r="CI21" i="130"/>
  <c r="CX5" i="130"/>
  <c r="CI19" i="130"/>
  <c r="CB13" i="130"/>
  <c r="CI27" i="130"/>
  <c r="CF17" i="130"/>
  <c r="CG17" i="130" s="1"/>
  <c r="CH17" i="130" s="1"/>
  <c r="CX3" i="130" l="1"/>
  <c r="CX14" i="130" s="1"/>
  <c r="CX15" i="130" s="1"/>
  <c r="CI17" i="130"/>
  <c r="CH28" i="130" l="1"/>
  <c r="CH29" i="130" s="1"/>
  <c r="AN23" i="130" l="1"/>
  <c r="AN24" i="130" s="1"/>
  <c r="BC23" i="130" l="1"/>
  <c r="BC24" i="130" s="1"/>
  <c r="BD23" i="130"/>
  <c r="BD24" i="130" s="1"/>
  <c r="BA23" i="130"/>
  <c r="BA24" i="130" s="1"/>
  <c r="BW6" i="130"/>
  <c r="AU23" i="130"/>
  <c r="AU24" i="130" s="1"/>
  <c r="BW7" i="130" l="1"/>
  <c r="AV26" i="130"/>
  <c r="AV27" i="130" s="1"/>
  <c r="CQ14" i="130" l="1"/>
  <c r="CQ15" i="130" s="1"/>
  <c r="AX23" i="130" l="1"/>
  <c r="AX24" i="130" s="1"/>
  <c r="BR6" i="130"/>
  <c r="BR7" i="130" s="1"/>
  <c r="BZ6" i="130"/>
  <c r="BZ7" i="130" s="1"/>
  <c r="BC9" i="130" l="1"/>
  <c r="BC10" i="130" s="1"/>
  <c r="BB9" i="130"/>
  <c r="BB10" i="130" l="1"/>
  <c r="R10" i="130"/>
  <c r="Q10" i="130" s="1"/>
  <c r="BB1" i="130" l="1"/>
  <c r="AX2" i="130" l="1"/>
  <c r="AX3" i="130"/>
  <c r="AX4" i="130"/>
  <c r="BK9" i="130"/>
  <c r="BK10" i="130"/>
  <c r="BI17" i="130"/>
  <c r="BI18" i="130" s="1"/>
  <c r="BK11" i="130"/>
  <c r="BK12" i="130"/>
  <c r="BK13" i="130"/>
  <c r="BK14" i="130"/>
  <c r="BK15" i="130"/>
  <c r="BK16" i="130"/>
  <c r="BH17" i="130"/>
  <c r="BH18" i="130" s="1"/>
  <c r="BM15" i="130" l="1"/>
  <c r="BL15" i="130"/>
  <c r="BM12" i="130"/>
  <c r="BL12" i="130"/>
  <c r="BO12" i="130" s="1"/>
  <c r="BM14" i="130"/>
  <c r="BL14" i="130"/>
  <c r="BM9" i="130"/>
  <c r="BL9" i="130"/>
  <c r="AY3" i="130"/>
  <c r="AZ3" i="130"/>
  <c r="AZ2" i="130"/>
  <c r="AY2" i="130"/>
  <c r="BM13" i="130"/>
  <c r="BL13" i="130"/>
  <c r="BM11" i="130"/>
  <c r="BL11" i="130"/>
  <c r="BM10" i="130"/>
  <c r="BL10" i="130"/>
  <c r="AZ4" i="130"/>
  <c r="AY4" i="130"/>
  <c r="BM16" i="130"/>
  <c r="BL16" i="130"/>
  <c r="BO11" i="130"/>
  <c r="BK17" i="130"/>
  <c r="BK18" i="130" s="1"/>
  <c r="BL17" i="130" l="1"/>
  <c r="BL18" i="130" s="1"/>
  <c r="BO9" i="130"/>
  <c r="BO15" i="130"/>
  <c r="BB4" i="130"/>
  <c r="BO10" i="130"/>
  <c r="BO13" i="130"/>
  <c r="BM17" i="130"/>
  <c r="BM18" i="130" s="1"/>
  <c r="BB2" i="130"/>
  <c r="BO16" i="130"/>
  <c r="BB3" i="130"/>
  <c r="BO14" i="130"/>
  <c r="BO17" i="130" l="1"/>
  <c r="BO18" i="130" s="1"/>
  <c r="AW23" i="130"/>
  <c r="BE7" i="130" l="1"/>
  <c r="BE8" i="130" s="1"/>
  <c r="AW24" i="130"/>
  <c r="BU6" i="130" l="1"/>
  <c r="BU7" i="130" s="1"/>
  <c r="BS6" i="130"/>
  <c r="BS7" i="130" s="1"/>
  <c r="BT6" i="130"/>
  <c r="BT7" i="130" l="1"/>
  <c r="CE6" i="130" l="1"/>
  <c r="CE7" i="130" s="1"/>
  <c r="Q1" i="130"/>
  <c r="R1" i="130"/>
  <c r="AH1" i="130"/>
  <c r="AI1" i="130"/>
  <c r="AJ1" i="130"/>
  <c r="AM1" i="130"/>
  <c r="AN1" i="130"/>
  <c r="AO1" i="130"/>
  <c r="AQ1" i="130"/>
  <c r="AR1" i="130"/>
  <c r="AS1" i="130"/>
  <c r="BC1" i="130"/>
  <c r="BD1" i="130"/>
  <c r="BF1" i="130"/>
  <c r="BQ1" i="130"/>
  <c r="BX1" i="130"/>
  <c r="CA1" i="130"/>
  <c r="CD1" i="130"/>
  <c r="CH1" i="130"/>
  <c r="CI1" i="130"/>
  <c r="CJ1" i="130"/>
  <c r="CK1" i="130"/>
  <c r="CL1" i="130"/>
  <c r="Q2" i="130"/>
  <c r="R2" i="130"/>
  <c r="AH2" i="130"/>
  <c r="AI2" i="130"/>
  <c r="AJ2" i="130"/>
  <c r="AM2" i="130"/>
  <c r="AN2" i="130"/>
  <c r="AO2" i="130"/>
  <c r="AQ2" i="130"/>
  <c r="AR2" i="130"/>
  <c r="AS2" i="130"/>
  <c r="BC2" i="130"/>
  <c r="BD2" i="130"/>
  <c r="BF2" i="130"/>
  <c r="BQ2" i="130"/>
  <c r="BX2" i="130"/>
  <c r="CA2" i="130"/>
  <c r="CD2" i="130"/>
  <c r="CH2" i="130"/>
  <c r="CI2" i="130"/>
  <c r="CJ2" i="130"/>
  <c r="CK2" i="130"/>
  <c r="CL2" i="130"/>
  <c r="CO2" i="130"/>
  <c r="CP2" i="130"/>
  <c r="CR2" i="130"/>
  <c r="CS2" i="130"/>
  <c r="CT2" i="130"/>
  <c r="CU2" i="130"/>
  <c r="CV2" i="130"/>
  <c r="CW2" i="130"/>
  <c r="CY2" i="130"/>
  <c r="DA2" i="130"/>
  <c r="DB2" i="130"/>
  <c r="Q3" i="130"/>
  <c r="R3" i="130"/>
  <c r="AH3" i="130"/>
  <c r="AI3" i="130"/>
  <c r="AJ3" i="130"/>
  <c r="AM3" i="130"/>
  <c r="AN3" i="130"/>
  <c r="AO3" i="130"/>
  <c r="AQ3" i="130"/>
  <c r="AR3" i="130"/>
  <c r="AS3" i="130"/>
  <c r="BC3" i="130"/>
  <c r="BD3" i="130"/>
  <c r="BF3" i="130"/>
  <c r="BQ3" i="130"/>
  <c r="BX3" i="130"/>
  <c r="CA3" i="130"/>
  <c r="CD3" i="130"/>
  <c r="CH3" i="130"/>
  <c r="CI3" i="130"/>
  <c r="CJ3" i="130"/>
  <c r="CK3" i="130"/>
  <c r="CL3" i="130"/>
  <c r="CO3" i="130"/>
  <c r="CP3" i="130"/>
  <c r="CR3" i="130"/>
  <c r="CS3" i="130"/>
  <c r="CT3" i="130"/>
  <c r="CU3" i="130"/>
  <c r="CV3" i="130"/>
  <c r="CW3" i="130"/>
  <c r="CY3" i="130"/>
  <c r="DA3" i="130"/>
  <c r="DB3" i="130"/>
  <c r="Q4" i="130"/>
  <c r="R4" i="130"/>
  <c r="AH4" i="130"/>
  <c r="AI4" i="130"/>
  <c r="AJ4" i="130"/>
  <c r="AM4" i="130"/>
  <c r="AN4" i="130"/>
  <c r="AO4" i="130"/>
  <c r="AQ4" i="130"/>
  <c r="AR4" i="130"/>
  <c r="AS4" i="130"/>
  <c r="BC4" i="130"/>
  <c r="BD4" i="130"/>
  <c r="BF4" i="130"/>
  <c r="BQ4" i="130"/>
  <c r="BX4" i="130"/>
  <c r="CA4" i="130"/>
  <c r="CD4" i="130"/>
  <c r="CH4" i="130"/>
  <c r="CI4" i="130"/>
  <c r="CJ4" i="130"/>
  <c r="CK4" i="130"/>
  <c r="CL4" i="130"/>
  <c r="CO4" i="130"/>
  <c r="CP4" i="130"/>
  <c r="CR4" i="130"/>
  <c r="CS4" i="130"/>
  <c r="CT4" i="130"/>
  <c r="CU4" i="130"/>
  <c r="CV4" i="130"/>
  <c r="CW4" i="130"/>
  <c r="CY4" i="130"/>
  <c r="DA4" i="130"/>
  <c r="DB4" i="130"/>
  <c r="Q5" i="130"/>
  <c r="R5" i="130"/>
  <c r="AJ5" i="130"/>
  <c r="AN5" i="130"/>
  <c r="AP5" i="130"/>
  <c r="AZ5" i="130"/>
  <c r="BD5" i="130"/>
  <c r="BF5" i="130"/>
  <c r="BQ5" i="130"/>
  <c r="BX5" i="130"/>
  <c r="CA5" i="130"/>
  <c r="CD5" i="130"/>
  <c r="CH5" i="130"/>
  <c r="CI5" i="130"/>
  <c r="CJ5" i="130"/>
  <c r="CK5" i="130"/>
  <c r="CL5" i="130"/>
  <c r="CO5" i="130"/>
  <c r="CP5" i="130"/>
  <c r="CR5" i="130"/>
  <c r="CS5" i="130"/>
  <c r="CT5" i="130"/>
  <c r="CU5" i="130"/>
  <c r="CV5" i="130"/>
  <c r="CW5" i="130"/>
  <c r="CY5" i="130"/>
  <c r="DA5" i="130"/>
  <c r="DB5" i="130"/>
  <c r="Q6" i="130"/>
  <c r="R6" i="130"/>
  <c r="AJ6" i="130"/>
  <c r="AN6" i="130"/>
  <c r="AP6" i="130"/>
  <c r="AZ6" i="130"/>
  <c r="BD6" i="130"/>
  <c r="BF6" i="130"/>
  <c r="BQ6" i="130"/>
  <c r="BX6" i="130"/>
  <c r="CA6" i="130"/>
  <c r="CD6" i="130"/>
  <c r="CH6" i="130"/>
  <c r="CI6" i="130"/>
  <c r="CJ6" i="130"/>
  <c r="CK6" i="130"/>
  <c r="CL6" i="130"/>
  <c r="CO6" i="130"/>
  <c r="CP6" i="130"/>
  <c r="CR6" i="130"/>
  <c r="CS6" i="130"/>
  <c r="CT6" i="130"/>
  <c r="CU6" i="130"/>
  <c r="CV6" i="130"/>
  <c r="CW6" i="130"/>
  <c r="CY6" i="130"/>
  <c r="DA6" i="130"/>
  <c r="DB6" i="130"/>
  <c r="Q7" i="130"/>
  <c r="R7" i="130"/>
  <c r="AJ7" i="130"/>
  <c r="AN7" i="130"/>
  <c r="AP7" i="130"/>
  <c r="AZ7" i="130"/>
  <c r="BD7" i="130"/>
  <c r="BF7" i="130"/>
  <c r="BQ7" i="130"/>
  <c r="BX7" i="130"/>
  <c r="CA7" i="130"/>
  <c r="CD7" i="130"/>
  <c r="CH7" i="130"/>
  <c r="CI7" i="130"/>
  <c r="CJ7" i="130"/>
  <c r="CK7" i="130"/>
  <c r="CL7" i="130"/>
  <c r="CO7" i="130"/>
  <c r="CP7" i="130"/>
  <c r="CR7" i="130"/>
  <c r="CS7" i="130"/>
  <c r="CT7" i="130"/>
  <c r="CU7" i="130"/>
  <c r="CV7" i="130"/>
  <c r="CW7" i="130"/>
  <c r="CY7" i="130"/>
  <c r="DA7" i="130"/>
  <c r="DB7" i="130"/>
  <c r="Q8" i="130"/>
  <c r="R8" i="130"/>
  <c r="AJ8" i="130"/>
  <c r="AN8" i="130"/>
  <c r="AP8" i="130"/>
  <c r="AZ8" i="130"/>
  <c r="BD8" i="130"/>
  <c r="BF8" i="130"/>
  <c r="BQ8" i="130"/>
  <c r="BR8" i="130"/>
  <c r="BS8" i="130"/>
  <c r="BV8" i="130"/>
  <c r="BW8" i="130"/>
  <c r="BX8" i="130"/>
  <c r="BZ8" i="130"/>
  <c r="CA8" i="130"/>
  <c r="CH8" i="130"/>
  <c r="CI8" i="130"/>
  <c r="CJ8" i="130"/>
  <c r="CK8" i="130"/>
  <c r="CL8" i="130"/>
  <c r="CO8" i="130"/>
  <c r="CP8" i="130"/>
  <c r="CR8" i="130"/>
  <c r="CS8" i="130"/>
  <c r="CT8" i="130"/>
  <c r="CU8" i="130"/>
  <c r="CV8" i="130"/>
  <c r="CW8" i="130"/>
  <c r="CY8" i="130"/>
  <c r="DA8" i="130"/>
  <c r="DB8" i="130"/>
  <c r="Q9" i="130"/>
  <c r="R9" i="130"/>
  <c r="AJ9" i="130"/>
  <c r="AN9" i="130"/>
  <c r="AP9" i="130"/>
  <c r="AZ9" i="130"/>
  <c r="BF9" i="130"/>
  <c r="BP9" i="130"/>
  <c r="BQ9" i="130"/>
  <c r="BR9" i="130"/>
  <c r="BS9" i="130"/>
  <c r="BV9" i="130"/>
  <c r="BW9" i="130"/>
  <c r="BX9" i="130"/>
  <c r="BZ9" i="130"/>
  <c r="CA9" i="130"/>
  <c r="CC9" i="130"/>
  <c r="CE9" i="130"/>
  <c r="CF9" i="130"/>
  <c r="CH9" i="130"/>
  <c r="CI9" i="130"/>
  <c r="CJ9" i="130"/>
  <c r="CK9" i="130"/>
  <c r="CL9" i="130"/>
  <c r="CO9" i="130"/>
  <c r="CP9" i="130"/>
  <c r="CR9" i="130"/>
  <c r="CS9" i="130"/>
  <c r="CT9" i="130"/>
  <c r="CU9" i="130"/>
  <c r="CV9" i="130"/>
  <c r="CW9" i="130"/>
  <c r="AJ10" i="130"/>
  <c r="AN10" i="130"/>
  <c r="AP10" i="130"/>
  <c r="AZ10" i="130"/>
  <c r="BF10" i="130"/>
  <c r="BP10" i="130"/>
  <c r="BQ10" i="130"/>
  <c r="BR10" i="130"/>
  <c r="BS10" i="130"/>
  <c r="BV10" i="130"/>
  <c r="BW10" i="130"/>
  <c r="BX10" i="130"/>
  <c r="BZ10" i="130"/>
  <c r="CA10" i="130"/>
  <c r="CC10" i="130"/>
  <c r="CE10" i="130"/>
  <c r="CF10" i="130"/>
  <c r="CH10" i="130"/>
  <c r="CI10" i="130"/>
  <c r="CJ10" i="130"/>
  <c r="CK10" i="130"/>
  <c r="CL10" i="130"/>
  <c r="CO10" i="130"/>
  <c r="CP10" i="130"/>
  <c r="CR10" i="130"/>
  <c r="CS10" i="130"/>
  <c r="CT10" i="130"/>
  <c r="CU10" i="130"/>
  <c r="CV10" i="130"/>
  <c r="CW10" i="130"/>
  <c r="Q11" i="130"/>
  <c r="R11" i="130"/>
  <c r="AJ11" i="130"/>
  <c r="AO11" i="130"/>
  <c r="AQ11" i="130"/>
  <c r="AS11" i="130"/>
  <c r="AV11" i="130"/>
  <c r="AY11" i="130"/>
  <c r="AZ11" i="130"/>
  <c r="BB11" i="130"/>
  <c r="BE11" i="130"/>
  <c r="BF11" i="130"/>
  <c r="BP11" i="130"/>
  <c r="BQ11" i="130"/>
  <c r="BR11" i="130"/>
  <c r="BS11" i="130"/>
  <c r="BV11" i="130"/>
  <c r="BW11" i="130"/>
  <c r="BX11" i="130"/>
  <c r="BZ11" i="130"/>
  <c r="CA11" i="130"/>
  <c r="CC11" i="130"/>
  <c r="CE11" i="130"/>
  <c r="CF11" i="130"/>
  <c r="CH11" i="130"/>
  <c r="CI11" i="130"/>
  <c r="CJ11" i="130"/>
  <c r="CK11" i="130"/>
  <c r="CL11" i="130"/>
  <c r="CO11" i="130"/>
  <c r="CP11" i="130"/>
  <c r="CR11" i="130"/>
  <c r="CS11" i="130"/>
  <c r="CT11" i="130"/>
  <c r="CU11" i="130"/>
  <c r="CV11" i="130"/>
  <c r="CW11" i="130"/>
  <c r="Q12" i="130"/>
  <c r="R12" i="130"/>
  <c r="AJ12" i="130"/>
  <c r="AO12" i="130"/>
  <c r="AQ12" i="130"/>
  <c r="AS12" i="130"/>
  <c r="AV12" i="130"/>
  <c r="AY12" i="130"/>
  <c r="AZ12" i="130"/>
  <c r="BB12" i="130"/>
  <c r="BE12" i="130"/>
  <c r="BF12" i="130"/>
  <c r="BP12" i="130"/>
  <c r="BQ12" i="130"/>
  <c r="BR12" i="130"/>
  <c r="BS12" i="130"/>
  <c r="BV12" i="130"/>
  <c r="BW12" i="130"/>
  <c r="BX12" i="130"/>
  <c r="BZ12" i="130"/>
  <c r="CA12" i="130"/>
  <c r="CC12" i="130"/>
  <c r="CE12" i="130"/>
  <c r="CF12" i="130"/>
  <c r="CH12" i="130"/>
  <c r="CI12" i="130"/>
  <c r="CJ12" i="130"/>
  <c r="CK12" i="130"/>
  <c r="CL12" i="130"/>
  <c r="CO12" i="130"/>
  <c r="CP12" i="130"/>
  <c r="CR12" i="130"/>
  <c r="CS12" i="130"/>
  <c r="CT12" i="130"/>
  <c r="CU12" i="130"/>
  <c r="CV12" i="130"/>
  <c r="CW12" i="130"/>
  <c r="Q13" i="130"/>
  <c r="R13" i="130"/>
  <c r="AO13" i="130"/>
  <c r="AQ13" i="130"/>
  <c r="AS13" i="130"/>
  <c r="AV13" i="130"/>
  <c r="AY13" i="130"/>
  <c r="AZ13" i="130"/>
  <c r="BB13" i="130"/>
  <c r="BE13" i="130"/>
  <c r="BF13" i="130"/>
  <c r="BP13" i="130"/>
  <c r="BQ13" i="130"/>
  <c r="BR13" i="130"/>
  <c r="BS13" i="130"/>
  <c r="BV13" i="130"/>
  <c r="BW13" i="130"/>
  <c r="BX13" i="130"/>
  <c r="BZ13" i="130"/>
  <c r="CA13" i="130"/>
  <c r="CC13" i="130"/>
  <c r="CE13" i="130"/>
  <c r="CF13" i="130"/>
  <c r="CH13" i="130"/>
  <c r="CI13" i="130"/>
  <c r="CJ13" i="130"/>
  <c r="CK13" i="130"/>
  <c r="CL13" i="130"/>
  <c r="CO13" i="130"/>
  <c r="CP13" i="130"/>
  <c r="CR13" i="130"/>
  <c r="CS13" i="130"/>
  <c r="CT13" i="130"/>
  <c r="CU13" i="130"/>
  <c r="CV13" i="130"/>
  <c r="CW13" i="130"/>
  <c r="Q14" i="130"/>
  <c r="R14" i="130"/>
  <c r="AO14" i="130"/>
  <c r="AQ14" i="130"/>
  <c r="AS14" i="130"/>
  <c r="AV14" i="130"/>
  <c r="AY14" i="130"/>
  <c r="AZ14" i="130"/>
  <c r="BB14" i="130"/>
  <c r="BE14" i="130"/>
  <c r="BF14" i="130"/>
  <c r="BP14" i="130"/>
  <c r="BQ14" i="130"/>
  <c r="BR14" i="130"/>
  <c r="BS14" i="130"/>
  <c r="BV14" i="130"/>
  <c r="BW14" i="130"/>
  <c r="BX14" i="130"/>
  <c r="BZ14" i="130"/>
  <c r="CA14" i="130"/>
  <c r="CH14" i="130"/>
  <c r="CI14" i="130"/>
  <c r="CJ14" i="130"/>
  <c r="CK14" i="130"/>
  <c r="CL14" i="130"/>
  <c r="CO14" i="130"/>
  <c r="CP14" i="130"/>
  <c r="CR14" i="130"/>
  <c r="CW14" i="130"/>
  <c r="CY14" i="130"/>
  <c r="A15" i="130"/>
  <c r="M15" i="130"/>
  <c r="N15" i="130"/>
  <c r="O15" i="130"/>
  <c r="Q15" i="130"/>
  <c r="R15" i="130"/>
  <c r="AO15" i="130"/>
  <c r="AQ15" i="130"/>
  <c r="AS15" i="130"/>
  <c r="AV15" i="130"/>
  <c r="AY15" i="130"/>
  <c r="AZ15" i="130"/>
  <c r="BB15" i="130"/>
  <c r="BE15" i="130"/>
  <c r="BF15" i="130"/>
  <c r="BP15" i="130"/>
  <c r="CO15" i="130"/>
  <c r="CP15" i="130"/>
  <c r="CR15" i="130"/>
  <c r="CW15" i="130"/>
  <c r="CY15" i="130"/>
  <c r="A16" i="130"/>
  <c r="M16" i="130"/>
  <c r="N16" i="130"/>
  <c r="O16" i="130"/>
  <c r="Q16" i="130"/>
  <c r="R16" i="130"/>
  <c r="AO16" i="130"/>
  <c r="AQ16" i="130"/>
  <c r="AS16" i="130"/>
  <c r="AV16" i="130"/>
  <c r="AY16" i="130"/>
  <c r="AZ16" i="130"/>
  <c r="BB16" i="130"/>
  <c r="BE16" i="130"/>
  <c r="BF16" i="130"/>
  <c r="BP16" i="130"/>
  <c r="A17" i="130"/>
  <c r="M17" i="130"/>
  <c r="N17" i="130"/>
  <c r="O17" i="130"/>
  <c r="Q17" i="130"/>
  <c r="R17" i="130"/>
  <c r="AO17" i="130"/>
  <c r="AQ17" i="130"/>
  <c r="AS17" i="130"/>
  <c r="AV17" i="130"/>
  <c r="AY17" i="130"/>
  <c r="AZ17" i="130"/>
  <c r="BB17" i="130"/>
  <c r="BE17" i="130"/>
  <c r="BF17" i="130"/>
  <c r="BP17" i="130"/>
  <c r="A18" i="130"/>
  <c r="M18" i="130"/>
  <c r="N18" i="130"/>
  <c r="O18" i="130"/>
  <c r="Q18" i="130"/>
  <c r="R18" i="130"/>
  <c r="AO18" i="130"/>
  <c r="AQ18" i="130"/>
  <c r="AS18" i="130"/>
  <c r="AV18" i="130"/>
  <c r="AY18" i="130"/>
  <c r="AZ18" i="130"/>
  <c r="BB18" i="130"/>
  <c r="BE18" i="130"/>
  <c r="BF18" i="130"/>
  <c r="BP18" i="130"/>
  <c r="A19" i="130"/>
  <c r="M19" i="130"/>
  <c r="N19" i="130"/>
  <c r="O19" i="130"/>
  <c r="AO19" i="130"/>
  <c r="AQ19" i="130"/>
  <c r="AS19" i="130"/>
  <c r="AV19" i="130"/>
  <c r="AY19" i="130"/>
  <c r="AZ19" i="130"/>
  <c r="BB19" i="130"/>
  <c r="BE19" i="130"/>
  <c r="BG19" i="130"/>
  <c r="BN19" i="130"/>
  <c r="BQ19" i="130"/>
  <c r="BT19" i="130"/>
  <c r="A20" i="130"/>
  <c r="M20" i="130"/>
  <c r="N20" i="130"/>
  <c r="O20" i="130"/>
  <c r="AO20" i="130"/>
  <c r="AQ20" i="130"/>
  <c r="AS20" i="130"/>
  <c r="AV20" i="130"/>
  <c r="AY20" i="130"/>
  <c r="AZ20" i="130"/>
  <c r="BB20" i="130"/>
  <c r="BE20" i="130"/>
  <c r="BG20" i="130"/>
  <c r="BN20" i="130"/>
  <c r="BQ20" i="130"/>
  <c r="BT20" i="130"/>
  <c r="A21" i="130"/>
  <c r="M21" i="130"/>
  <c r="N21" i="130"/>
  <c r="O21" i="130"/>
  <c r="AO21" i="130"/>
  <c r="AQ21" i="130"/>
  <c r="AS21" i="130"/>
  <c r="AV21" i="130"/>
  <c r="AY21" i="130"/>
  <c r="AZ21" i="130"/>
  <c r="BB21" i="130"/>
  <c r="BE21" i="130"/>
  <c r="BG21" i="130"/>
  <c r="BN21" i="130"/>
  <c r="BQ21" i="130"/>
  <c r="BT21" i="130"/>
  <c r="A22" i="130"/>
  <c r="M22" i="130"/>
  <c r="N22" i="130"/>
  <c r="O22" i="130"/>
  <c r="AO22" i="130"/>
  <c r="AQ22" i="130"/>
  <c r="AS22" i="130"/>
  <c r="AV22" i="130"/>
  <c r="AY22" i="130"/>
  <c r="AZ22" i="130"/>
  <c r="BB22" i="130"/>
  <c r="BE22" i="130"/>
  <c r="BG22" i="130"/>
  <c r="BN22" i="130"/>
  <c r="BQ22" i="130"/>
  <c r="BT22" i="130"/>
  <c r="A23" i="130"/>
  <c r="M23" i="130"/>
  <c r="N23" i="130"/>
  <c r="O23" i="130"/>
  <c r="AO23" i="130"/>
  <c r="AQ23" i="130"/>
  <c r="AS23" i="130"/>
  <c r="AV23" i="130"/>
  <c r="AY23" i="130"/>
  <c r="AZ23" i="130"/>
  <c r="BB23" i="130"/>
  <c r="BE23" i="130"/>
  <c r="BG23" i="130"/>
  <c r="BN23" i="130"/>
  <c r="BQ23" i="130"/>
  <c r="BT23" i="130"/>
  <c r="A24" i="130"/>
  <c r="M24" i="130"/>
  <c r="N24" i="130"/>
  <c r="O24" i="130"/>
  <c r="AO24" i="130"/>
  <c r="AQ24" i="130"/>
  <c r="AS24" i="130"/>
  <c r="AV24" i="130"/>
  <c r="AY24" i="130"/>
  <c r="AZ24" i="130"/>
  <c r="BB24" i="130"/>
  <c r="BE24" i="130"/>
  <c r="BG24" i="130"/>
  <c r="BN24" i="130"/>
  <c r="BQ24" i="130"/>
  <c r="BT24" i="130"/>
  <c r="A25" i="130"/>
  <c r="M25" i="130"/>
  <c r="N25" i="130"/>
  <c r="O25" i="130"/>
  <c r="AN25" i="130"/>
  <c r="AO25" i="130"/>
  <c r="AP25" i="130"/>
  <c r="AS25" i="130"/>
  <c r="AT25" i="130"/>
  <c r="AU25" i="130"/>
  <c r="AW25" i="130"/>
  <c r="AX25" i="130"/>
  <c r="BG25" i="130"/>
  <c r="BN25" i="130"/>
  <c r="BQ25" i="130"/>
  <c r="BT25" i="130"/>
  <c r="A26" i="130"/>
  <c r="M26" i="130"/>
  <c r="N26" i="130"/>
  <c r="O26" i="130"/>
  <c r="AN26" i="130"/>
  <c r="AO26" i="130"/>
  <c r="AP26" i="130"/>
  <c r="AS26" i="130"/>
  <c r="AT26" i="130"/>
  <c r="AU26" i="130"/>
  <c r="AW26" i="130"/>
  <c r="AX26" i="130"/>
  <c r="M27" i="130"/>
  <c r="N27" i="130"/>
  <c r="O27" i="130"/>
  <c r="AN27" i="130"/>
  <c r="AO27" i="130"/>
  <c r="AP27" i="130"/>
  <c r="AS27" i="130"/>
  <c r="AT27" i="130"/>
  <c r="AU27" i="130"/>
  <c r="AW27" i="130"/>
  <c r="AX27" i="130"/>
  <c r="M28" i="130"/>
  <c r="N28" i="130"/>
  <c r="O28" i="130"/>
</calcChain>
</file>

<file path=xl/sharedStrings.xml><?xml version="1.0" encoding="utf-8"?>
<sst xmlns="http://schemas.openxmlformats.org/spreadsheetml/2006/main" count="775" uniqueCount="106">
  <si>
    <t>-</t>
  </si>
  <si>
    <t>Yok</t>
  </si>
  <si>
    <t>Kıdem Yardımı</t>
  </si>
  <si>
    <t>Resmi Tatillerde Çalışma</t>
  </si>
  <si>
    <t>SGK Prim Kesintisi</t>
  </si>
  <si>
    <t>SGK İşsizlik Primi Kesintisi</t>
  </si>
  <si>
    <t>Yemek Yardımı</t>
  </si>
  <si>
    <t>Sosyal Yardım</t>
  </si>
  <si>
    <t>Evlilik Yardımı</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</si>
  <si>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</si>
  <si>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</si>
  <si>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</si>
  <si>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</si>
  <si>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</si>
  <si>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</si>
  <si>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</si>
  <si>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</si>
  <si>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</si>
  <si>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</si>
  <si>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</si>
  <si>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</si>
  <si>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</si>
  <si>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</si>
  <si>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</si>
  <si>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</si>
  <si>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</si>
  <si>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</si>
  <si>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</si>
  <si>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</si>
  <si>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Normal Çalışma</t>
  </si>
  <si>
    <t>BES Kesintisi</t>
  </si>
  <si>
    <t>Damga Vergisi Kesintisi</t>
  </si>
  <si>
    <t>Gelir Vergisi Kesintisi</t>
  </si>
  <si>
    <t>İkramiye Yardımı</t>
  </si>
  <si>
    <t>İş Kazası veya Meslek Hastalığı Tazminatı</t>
  </si>
  <si>
    <t>Nakdi Yardımlar</t>
  </si>
  <si>
    <t>Sendika Üyelik Aidatı Kesintisi</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</si>
  <si>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</si>
  <si>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</si>
  <si>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</si>
  <si>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</si>
  <si>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</si>
  <si>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</si>
  <si>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</si>
  <si>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</si>
  <si>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</si>
  <si>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</si>
  <si>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a) İşçinin ikamet ettiği konutun doğal afet nedeniyle hasara uğraması hâlinde 10 iş günü ücretli sosyal izin verilir.</t>
  </si>
  <si>
    <t>a) İşçinin evlenmesi hâlinde 7 iş günü ücretli sosyal izin verilir.
b) İşçinin çocuğunun evlenmesi hâlinde 0 iş günü ücretli sosyal izin verilir.
c) İşçinin evliliğinde, evlilik izninin hangi şekilde kullanılacağı işçinin talebi doğrultusunda değerlendirilir.</t>
  </si>
  <si>
    <t>a) İşçinin eşinin veya çocuğunun vefatı hâlinde 5 iş günü ücretli sosyal izin verilir.
b) İşçinin annesinin, babasının veya kardeşinin vefatı hâlinde 5 iş günü ücretli sosyal izin verilir.
c) İşçinin eşinin annesinin, babasının veya kardeşinin vefatı hâlinde 5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5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</si>
  <si>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Fazla Çalışma (Gündüz / Gece)</t>
  </si>
  <si>
    <t>a) Yıllık ücretli izinleri işyerinin kurulu bulunduğu yerden başka bir yerde geçirecek olanlara istemde bulunmaları ve bu hususu belgelemeleri koşulu ile gidiş ve dönüşlerinde yolda geçecek süreleri karşılamak üzere işveren toplam 4 güne kadar ücretsiz yol izni vermek zorundadır.
(Yıllık Ücretli İzin Yönetmeliği / Madde 6)</t>
  </si>
  <si>
    <t>Yıllık Toplam</t>
  </si>
  <si>
    <t>Yıllık Ortalama</t>
  </si>
  <si>
    <t xml:space="preserve">   Kıdem Yardımı</t>
  </si>
  <si>
    <t xml:space="preserve">   Fazla Çalışma
   (Gündüz / Gece)</t>
  </si>
  <si>
    <t xml:space="preserve">   Gece Çalışma</t>
  </si>
  <si>
    <t xml:space="preserve">   Yemek Yardımı</t>
  </si>
  <si>
    <t xml:space="preserve">   Nakdi Yardımlar
   Sürekliliği Olmayan Yardımlar</t>
  </si>
  <si>
    <t xml:space="preserve">   Kesintiler / Özel
   BES Kesintisi</t>
  </si>
  <si>
    <t>Cenaze Yardımı (Anne-Baba)</t>
  </si>
  <si>
    <t>Cenaze Yardımı (Eş-Çocuk)</t>
  </si>
  <si>
    <t>Cenaze Yardımı (İşçi-Tabii Sebepler Sonucu)</t>
  </si>
  <si>
    <t>Eğitim Yardımı (Çocuk-İlköğretim)</t>
  </si>
  <si>
    <t>Eğitim Yardımı (Çocuk-Ortaöğretim)</t>
  </si>
  <si>
    <t>Eğitim Yardımı (Çocuk-Lise)</t>
  </si>
  <si>
    <t>Eğitim Yardımı (Çocuk-Yükseköğretim)</t>
  </si>
  <si>
    <t xml:space="preserve">   Toplam Kazanç
   Net</t>
  </si>
  <si>
    <t>İşveren Maliyeti</t>
  </si>
  <si>
    <t xml:space="preserve">   Resmi Tatillerde Çalışma
   (Saat Hesabı)</t>
  </si>
  <si>
    <r>
      <t xml:space="preserve">   Sonraki Ayın 1'inde
   </t>
    </r>
    <r>
      <rPr>
        <b/>
        <sz val="16"/>
        <rFont val="Calibri"/>
        <family val="2"/>
        <charset val="162"/>
        <scheme val="minor"/>
      </rPr>
      <t>Net</t>
    </r>
  </si>
  <si>
    <r>
      <t xml:space="preserve">   Sonraki Ayın 15'inde
   Fazla Çalışma (Gündüz / Gece)
   Resmi Tatillerde Çalışma
   Gece Çalışma
   Yemek Yardımı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</si>
  <si>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</si>
  <si>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t>Miktar</t>
  </si>
  <si>
    <t>İskele Baş Personeli-Üniversite</t>
  </si>
  <si>
    <t>İskele Baş Personeli-MYO</t>
  </si>
  <si>
    <t>İskele Baş Personeli-Lise</t>
  </si>
  <si>
    <t>Gişe Memuru-Üniversite</t>
  </si>
  <si>
    <t>Gişe Memuru-MYO</t>
  </si>
  <si>
    <t>Gişe Memuru-Lise</t>
  </si>
  <si>
    <t>Bakım Onarım Elektrik-Elektronik Ustası</t>
  </si>
  <si>
    <t>Atölye Ustabaşı</t>
  </si>
  <si>
    <t>Motor Ustabaşı Yardımcısı</t>
  </si>
  <si>
    <t>Motor Teknisyeni</t>
  </si>
  <si>
    <t>Elektrik Bakım Onarım Personeli</t>
  </si>
  <si>
    <t>Kaynakçı</t>
  </si>
  <si>
    <t>Motorcu</t>
  </si>
  <si>
    <t>Elektrikçi</t>
  </si>
  <si>
    <t>Marangoz</t>
  </si>
  <si>
    <t>Marangoz Yardımcısı</t>
  </si>
  <si>
    <t>Atölye Personeli</t>
  </si>
  <si>
    <t>Ambar Personeli-MYO</t>
  </si>
  <si>
    <t>Ambar Personeli-Lise</t>
  </si>
  <si>
    <t>İskele Personeli</t>
  </si>
  <si>
    <t>Temizlik Personeli</t>
  </si>
  <si>
    <t>Güvenlik Personeli</t>
  </si>
  <si>
    <t xml:space="preserve">   Mâli Sorumluluk Primi
   Mesul Memur, Gişe Personeli
   (Her Vardiya)</t>
  </si>
  <si>
    <t>Mâli Sorumluluk Primi</t>
  </si>
  <si>
    <t>a) İşçilere, gerekli ve geçerli mazeretleri hâlinde işverenin takdirine bağlı olarak yılda 7 iş günü ücretli sosyal izin verilir.
b) İşçilere, gerekli ve geçerli mazeretleri hâlinde işverenin takdirine bağlı olarak yılda 90 takvim gününe kadar ücretsiz sosyal izin verilebilir.</t>
  </si>
  <si>
    <t>a) İşyerinde işçi sayısı 50’ye kadar ise yıllık en fazla 20 iş günü ücretli izin verilir.
İşyerinde işçi sayısı 51 ile 100 arasında ise yıllık en fazla 30 iş günü ücretli izin verilir.
İşyerinde işçi sayısı 101 ile 200 arasında ise yıllık en fazla 40 iş günü ücretli izin verilir.
İşyerinde işçi sayısı 201 ile 500 arasında ise yıllık en fazla 60 iş günü ücretli izin verilir.
İşyerinde işçi sayısı 501 ile 1000 arasında ise yıllık en fazla 80 iş günü ücretli izin verilir.
İşyerinde işçi sayısı 1000 işçiden fazla ise yıllık en fazla işçi sayısının % 10'u kadar iş günü ücretli sendikal izin verilir.
(8. Dönem Toplu İş Sözleşmesi / Madde 36)
b) Sendikal faaliyetler için sendikanın yazılı talebi üzerine ve işverenin hizmetlerini aksatmamak suretiyle, işçilere ayrı ayrı olmadan çalışan kişi sayısı karşılığına gelen gün kadar yıllık ücretli sendikal izin verilir.
c) Temsilcilik görevlerini yerine getirmeleri için baştemsilciye haftada 1 gün, diğer temsilcilere ayda 1’er gün ücretli sendikal izin verilir.
d) Toplu iş sözleşmesi yapmak üzere yetkisi kesinleşen sendika; 
işyerinde işçi sayısı 50’ye kadar ise 1,
51 ile 100 arasında ise en çok 2,
101 ile 500 arasında ise en çok 3,
501 ile 1000 arasında ise en çok 4,
1001 ile 2000 arasında ise en çok 6,
2000’den fazla ise en çok 8 işyeri sendika temsilcisini işyerinde çalışan üyeleri arasından atayarak 15 gün içinde kimliklerini işverene bildirir. Bunlardan biri baş temsilci olarak görevlendirilebilir. Temsilcilerin görevi, sendikanın yetkisi süresince devam eder.
(6356 sayılı Sendikalar ve Toplu İş Sözleşmesi Kanunu / Madde 27)</t>
  </si>
  <si>
    <t>a) Hizmeti 6 ay olanlar için 0 iş günü ücretli yıllık izin verilir.
Hizmeti 1-5 yıl olanlar için 18 iş günü ücretli yıllık izin verilir.
Hizmeti 5-10 yıl olanlar için 23 iş günü ücretli yıllık izin verilir.
Hizmeti 10-15 yıl olanlar için 23 iş günü ücretli yıllık izin verilir.
Hizmeti 15 yıldan fazla olanlar için 28 iş günü ücretli yıllık izin verilir.</t>
  </si>
  <si>
    <r>
      <t xml:space="preserve">a) Kadın işçilerin </t>
    </r>
    <r>
      <rPr>
        <b/>
        <sz val="16"/>
        <color theme="0" tint="-0.14999847407452621"/>
        <rFont val="Calibri"/>
        <family val="2"/>
        <charset val="162"/>
        <scheme val="minor"/>
      </rPr>
      <t>doğumdan önce 8 ve doğumdan sonra 8 hafta</t>
    </r>
    <r>
      <rPr>
        <sz val="16"/>
        <color theme="0" tint="-0.14999847407452621"/>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</si>
  <si>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tint="-0.14999847407452621"/>
        <rFont val="Calibri"/>
        <family val="2"/>
        <charset val="162"/>
        <scheme val="minor"/>
      </rPr>
      <t>bir yıl içinde toptan veya bölümler hâlinde 10 güne kadar</t>
    </r>
    <r>
      <rPr>
        <sz val="16"/>
        <color theme="0" tint="-0.14999847407452621"/>
        <rFont val="Calibri"/>
        <family val="2"/>
        <charset val="162"/>
        <scheme val="minor"/>
      </rPr>
      <t xml:space="preserve"> ücretli izin verilir.
(4857 sayılı İş Kanunu / Ek Madde 2)</t>
    </r>
  </si>
  <si>
    <r>
      <t xml:space="preserve">a) İşçiye; evlat edinmesi hâlinde </t>
    </r>
    <r>
      <rPr>
        <b/>
        <sz val="16"/>
        <color theme="0" tint="-0.14999847407452621"/>
        <rFont val="Calibri"/>
        <family val="2"/>
        <charset val="162"/>
        <scheme val="minor"/>
      </rPr>
      <t>3 gün</t>
    </r>
    <r>
      <rPr>
        <sz val="16"/>
        <color theme="0" tint="-0.14999847407452621"/>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</si>
  <si>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tint="-0.14999847407452621"/>
        <rFont val="Calibri"/>
        <family val="2"/>
        <charset val="162"/>
        <scheme val="minor"/>
      </rPr>
      <t>günde 2 saatten az olamaz</t>
    </r>
    <r>
      <rPr>
        <sz val="16"/>
        <color theme="0" tint="-0.14999847407452621"/>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</si>
  <si>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tint="-0.14999847407452621"/>
        <rFont val="Calibri"/>
        <family val="2"/>
        <charset val="162"/>
        <scheme val="minor"/>
      </rPr>
      <t>günde toplam 1,5 saat</t>
    </r>
    <r>
      <rPr>
        <sz val="16"/>
        <color theme="0" tint="-0.14999847407452621"/>
        <rFont val="Calibri"/>
        <family val="2"/>
        <charset val="162"/>
        <scheme val="minor"/>
      </rPr>
      <t xml:space="preserve"> süt izni verilir.
(4857 sayılı İş Kanunu / Madde 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</si>
</sst>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 &quot;Gün&quot;"/>
    <numFmt numFmtId="166" formatCode="#,##0.00\ &quot;₺&quot;"/>
    <numFmt numFmtId="167" formatCode="0.000000"/>
    <numFmt numFmtId="168" formatCode="%\ 0"/>
    <numFmt numFmtId="169" formatCode="%\ 0.00"/>
    <numFmt numFmtId="170" formatCode="General\ &quot;₺&quot;"/>
    <numFmt numFmtId="171" formatCode="0.0000000"/>
    <numFmt numFmtId="172" formatCode="0.0"/>
  </numFmts>
  <fonts count="14"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b/>
      <sz val="16"/>
      <color rgb="FFFF0000"/>
      <name val="Calibri"/>
      <family val="2"/>
      <charset val="162"/>
      <scheme val="minor"/>
    </font>
    <font>
      <sz val="20"/>
      <name val="Calibri"/>
      <family val="2"/>
      <charset val="162"/>
      <scheme val="minor"/>
    </font>
    <font>
      <sz val="20"/>
      <color rgb="FFFF0000"/>
      <name val="Calibri"/>
      <family val="2"/>
      <charset val="162"/>
      <scheme val="minor"/>
    </font>
    <font>
      <sz val="16"/>
      <color theme="0" tint="-0.14999847407452621"/>
      <name val="Calibri"/>
      <family val="2"/>
      <charset val="162"/>
      <scheme val="minor"/>
    </font>
    <font>
      <b/>
      <sz val="16"/>
      <color theme="0" tint="-0.14999847407452621"/>
      <name val="Calibri"/>
      <family val="2"/>
      <charset val="162"/>
      <scheme val="minor"/>
    </font>
    <font>
      <sz val="16"/>
      <color theme="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76">
    <xf numFmtId="0" fontId="0" fillId="0" borderId="0" xfId="0"/>
    <xf numFmtId="0" fontId="11" fillId="2" borderId="0" xfId="2" applyFont="1" applyFill="1" applyBorder="1" applyAlignment="1" applyProtection="1">
      <alignment horizontal="center" vertical="center" wrapText="1"/>
      <protection hidden="1"/>
    </xf>
    <xf numFmtId="166" fontId="11" fillId="2" borderId="0" xfId="2" applyNumberFormat="1" applyFont="1" applyFill="1" applyBorder="1" applyAlignment="1" applyProtection="1">
      <alignment horizontal="center" vertical="center" wrapText="1"/>
      <protection hidden="1"/>
    </xf>
    <xf numFmtId="0" fontId="11" fillId="2" borderId="0" xfId="0" applyFont="1" applyFill="1" applyBorder="1" applyAlignment="1" applyProtection="1">
      <alignment horizontal="center" vertical="center" wrapText="1"/>
      <protection hidden="1"/>
    </xf>
    <xf numFmtId="2" fontId="13" fillId="0" borderId="0" xfId="3" applyNumberFormat="1" applyFont="1" applyFill="1" applyBorder="1" applyAlignment="1" applyProtection="1">
      <alignment horizontal="center" vertical="center" wrapText="1"/>
      <protection hidden="1"/>
    </xf>
    <xf numFmtId="166" fontId="13" fillId="0" borderId="0" xfId="3" applyNumberFormat="1" applyFont="1" applyFill="1" applyBorder="1" applyAlignment="1" applyProtection="1">
      <alignment horizontal="center" vertical="center" wrapText="1"/>
      <protection hidden="1"/>
    </xf>
    <xf numFmtId="169" fontId="13" fillId="0" borderId="0" xfId="2" applyNumberFormat="1" applyFont="1" applyFill="1" applyBorder="1" applyAlignment="1" applyProtection="1">
      <alignment horizontal="center" vertical="center"/>
      <protection hidden="1"/>
    </xf>
    <xf numFmtId="0" fontId="13" fillId="0" borderId="0" xfId="2" applyFont="1" applyFill="1" applyBorder="1" applyAlignment="1" applyProtection="1">
      <alignment horizontal="center" vertical="center"/>
      <protection hidden="1"/>
    </xf>
    <xf numFmtId="166" fontId="13" fillId="0" borderId="0" xfId="2" applyNumberFormat="1" applyFont="1" applyFill="1" applyBorder="1" applyAlignment="1" applyProtection="1">
      <alignment horizontal="center" vertical="center"/>
      <protection hidden="1"/>
    </xf>
    <xf numFmtId="166" fontId="13" fillId="0" borderId="0" xfId="3" applyNumberFormat="1" applyFont="1" applyFill="1" applyBorder="1" applyAlignment="1" applyProtection="1">
      <alignment horizontal="center" vertical="center"/>
      <protection hidden="1"/>
    </xf>
    <xf numFmtId="165" fontId="13" fillId="0" borderId="0" xfId="2" applyNumberFormat="1" applyFont="1" applyFill="1" applyBorder="1" applyAlignment="1" applyProtection="1">
      <alignment horizontal="center" vertical="center"/>
      <protection hidden="1"/>
    </xf>
    <xf numFmtId="0" fontId="13" fillId="0" borderId="0" xfId="2" applyFont="1" applyFill="1" applyBorder="1" applyAlignment="1" applyProtection="1">
      <alignment horizontal="center" vertical="center" wrapText="1"/>
      <protection hidden="1"/>
    </xf>
    <xf numFmtId="168" fontId="13" fillId="0" borderId="0" xfId="2" applyNumberFormat="1" applyFont="1" applyFill="1" applyBorder="1" applyAlignment="1" applyProtection="1">
      <alignment horizontal="center" vertical="center"/>
      <protection hidden="1"/>
    </xf>
    <xf numFmtId="0" fontId="11" fillId="2" borderId="10" xfId="2" applyFont="1" applyFill="1" applyBorder="1" applyAlignment="1" applyProtection="1">
      <alignment horizontal="center" vertical="center"/>
      <protection hidden="1"/>
    </xf>
    <xf numFmtId="0" fontId="5" fillId="0" borderId="0" xfId="2" applyFont="1" applyAlignment="1" applyProtection="1">
      <alignment horizontal="center" vertical="center"/>
      <protection hidden="1"/>
    </xf>
    <xf numFmtId="0" fontId="11" fillId="2" borderId="0" xfId="0" applyFont="1" applyFill="1" applyBorder="1" applyAlignment="1" applyProtection="1">
      <alignment horizontal="right" vertical="center" wrapText="1" indent="1"/>
      <protection hidden="1"/>
    </xf>
    <xf numFmtId="49" fontId="11" fillId="2" borderId="0" xfId="0" applyNumberFormat="1" applyFont="1" applyFill="1" applyBorder="1" applyAlignment="1" applyProtection="1">
      <alignment horizontal="center" vertical="center" wrapText="1"/>
      <protection hidden="1"/>
    </xf>
    <xf numFmtId="2" fontId="13" fillId="0" borderId="0" xfId="2" applyNumberFormat="1" applyFont="1" applyFill="1" applyBorder="1" applyAlignment="1" applyProtection="1">
      <alignment horizontal="center" vertical="center" wrapText="1"/>
      <protection hidden="1"/>
    </xf>
    <xf numFmtId="2" fontId="13" fillId="0" borderId="0" xfId="2" applyNumberFormat="1" applyFont="1" applyFill="1" applyBorder="1" applyAlignment="1" applyProtection="1">
      <alignment horizontal="center" vertical="center"/>
      <protection hidden="1"/>
    </xf>
    <xf numFmtId="167" fontId="13" fillId="0" borderId="0" xfId="2" applyNumberFormat="1" applyFont="1" applyFill="1" applyBorder="1" applyAlignment="1" applyProtection="1">
      <alignment horizontal="center" vertical="center"/>
      <protection hidden="1"/>
    </xf>
    <xf numFmtId="0" fontId="13" fillId="0" borderId="0" xfId="3" applyFont="1" applyFill="1" applyBorder="1" applyAlignment="1" applyProtection="1">
      <alignment horizontal="center" vertical="center"/>
      <protection hidden="1"/>
    </xf>
    <xf numFmtId="2" fontId="13" fillId="0" borderId="0" xfId="3" applyNumberFormat="1" applyFont="1" applyFill="1" applyBorder="1" applyAlignment="1" applyProtection="1">
      <alignment horizontal="center" vertical="center"/>
      <protection hidden="1"/>
    </xf>
    <xf numFmtId="0" fontId="11" fillId="2" borderId="11" xfId="2" applyFont="1" applyFill="1" applyBorder="1" applyAlignment="1" applyProtection="1">
      <alignment horizontal="center" vertical="center"/>
      <protection hidden="1"/>
    </xf>
    <xf numFmtId="49" fontId="11" fillId="2" borderId="0" xfId="2" applyNumberFormat="1" applyFont="1" applyFill="1" applyBorder="1" applyAlignment="1" applyProtection="1">
      <alignment horizontal="center" vertical="center" wrapText="1"/>
      <protection hidden="1"/>
    </xf>
    <xf numFmtId="4" fontId="13" fillId="0" borderId="0" xfId="2" applyNumberFormat="1" applyFont="1" applyFill="1" applyBorder="1" applyAlignment="1" applyProtection="1">
      <alignment horizontal="center" vertical="center"/>
      <protection hidden="1"/>
    </xf>
    <xf numFmtId="0" fontId="13" fillId="0" borderId="0" xfId="3" applyFont="1" applyFill="1" applyBorder="1" applyAlignment="1" applyProtection="1">
      <alignment horizontal="center" vertical="center" wrapText="1"/>
      <protection hidden="1"/>
    </xf>
    <xf numFmtId="166" fontId="13" fillId="0" borderId="0" xfId="2" applyNumberFormat="1" applyFont="1" applyFill="1" applyBorder="1" applyAlignment="1" applyProtection="1">
      <alignment horizontal="center" vertical="center" wrapText="1"/>
      <protection hidden="1"/>
    </xf>
    <xf numFmtId="166" fontId="13" fillId="0" borderId="0" xfId="0" applyNumberFormat="1" applyFont="1" applyFill="1" applyBorder="1" applyAlignment="1" applyProtection="1">
      <alignment horizontal="center" vertical="center"/>
      <protection hidden="1"/>
    </xf>
    <xf numFmtId="4" fontId="13" fillId="0" borderId="0" xfId="2" applyNumberFormat="1" applyFont="1" applyFill="1" applyBorder="1" applyAlignment="1" applyProtection="1">
      <alignment horizontal="center" vertical="center" wrapText="1"/>
      <protection hidden="1"/>
    </xf>
    <xf numFmtId="166" fontId="11" fillId="2" borderId="0" xfId="2" applyNumberFormat="1" applyFont="1" applyFill="1" applyBorder="1" applyAlignment="1" applyProtection="1">
      <alignment horizontal="center" vertical="center"/>
      <protection hidden="1"/>
    </xf>
    <xf numFmtId="3" fontId="13" fillId="0" borderId="0" xfId="2" applyNumberFormat="1" applyFont="1" applyFill="1" applyBorder="1" applyAlignment="1" applyProtection="1">
      <alignment horizontal="center" vertical="center"/>
      <protection hidden="1"/>
    </xf>
    <xf numFmtId="2" fontId="11" fillId="2" borderId="0" xfId="2" applyNumberFormat="1" applyFont="1" applyFill="1" applyBorder="1" applyAlignment="1" applyProtection="1">
      <alignment horizontal="right" vertical="center" wrapText="1" indent="1"/>
      <protection hidden="1"/>
    </xf>
    <xf numFmtId="164" fontId="13" fillId="0" borderId="0" xfId="2" applyNumberFormat="1" applyFont="1" applyFill="1" applyBorder="1" applyAlignment="1" applyProtection="1">
      <alignment horizontal="center" vertical="center"/>
      <protection hidden="1"/>
    </xf>
    <xf numFmtId="164" fontId="13" fillId="0" borderId="0" xfId="0" applyNumberFormat="1" applyFont="1" applyFill="1" applyBorder="1" applyAlignment="1" applyProtection="1">
      <alignment horizontal="center" vertical="center"/>
      <protection hidden="1"/>
    </xf>
    <xf numFmtId="165" fontId="13" fillId="0" borderId="0" xfId="0" applyNumberFormat="1" applyFont="1" applyFill="1" applyBorder="1" applyAlignment="1" applyProtection="1">
      <alignment horizontal="center" vertical="center"/>
      <protection hidden="1"/>
    </xf>
    <xf numFmtId="168" fontId="5" fillId="2" borderId="1" xfId="2" applyNumberFormat="1" applyFont="1" applyFill="1" applyBorder="1" applyAlignment="1" applyProtection="1">
      <alignment horizontal="center" vertical="center"/>
      <protection hidden="1"/>
    </xf>
    <xf numFmtId="2" fontId="6" fillId="2" borderId="1" xfId="0" applyNumberFormat="1" applyFont="1" applyFill="1" applyBorder="1" applyAlignment="1" applyProtection="1">
      <alignment horizontal="center" vertical="center"/>
      <protection hidden="1"/>
    </xf>
    <xf numFmtId="166" fontId="6" fillId="4" borderId="1" xfId="2" applyNumberFormat="1" applyFont="1" applyFill="1" applyBorder="1" applyAlignment="1" applyProtection="1">
      <alignment horizontal="center" vertical="center"/>
      <protection hidden="1"/>
    </xf>
    <xf numFmtId="166" fontId="8" fillId="4" borderId="1" xfId="2" applyNumberFormat="1" applyFont="1" applyFill="1" applyBorder="1" applyAlignment="1" applyProtection="1">
      <alignment horizontal="center" vertical="center"/>
      <protection hidden="1"/>
    </xf>
    <xf numFmtId="2" fontId="11" fillId="2" borderId="0" xfId="2" applyNumberFormat="1" applyFont="1" applyFill="1" applyBorder="1" applyAlignment="1" applyProtection="1">
      <alignment horizontal="center" vertical="center" wrapText="1"/>
      <protection hidden="1"/>
    </xf>
    <xf numFmtId="169" fontId="13" fillId="0" borderId="0" xfId="4" applyNumberFormat="1" applyFont="1" applyFill="1" applyBorder="1" applyAlignment="1" applyProtection="1">
      <alignment horizontal="center" vertical="center"/>
      <protection hidden="1"/>
    </xf>
    <xf numFmtId="166" fontId="13" fillId="0" borderId="0" xfId="4" applyNumberFormat="1" applyFont="1" applyFill="1" applyBorder="1" applyAlignment="1" applyProtection="1">
      <alignment horizontal="center" vertical="center"/>
      <protection hidden="1"/>
    </xf>
    <xf numFmtId="171" fontId="13" fillId="0" borderId="0" xfId="2" applyNumberFormat="1" applyFont="1" applyFill="1" applyBorder="1" applyAlignment="1" applyProtection="1">
      <alignment horizontal="center" vertical="center"/>
      <protection hidden="1"/>
    </xf>
    <xf numFmtId="4" fontId="5" fillId="2" borderId="1" xfId="2" applyNumberFormat="1" applyFont="1" applyFill="1" applyBorder="1" applyAlignment="1" applyProtection="1">
      <alignment horizontal="center" vertical="center"/>
      <protection hidden="1"/>
    </xf>
    <xf numFmtId="172" fontId="5" fillId="2" borderId="1" xfId="2" applyNumberFormat="1" applyFont="1" applyFill="1" applyBorder="1" applyAlignment="1" applyProtection="1">
      <alignment horizontal="center" vertical="center"/>
      <protection hidden="1"/>
    </xf>
    <xf numFmtId="1" fontId="5" fillId="2" borderId="1" xfId="2" applyNumberFormat="1" applyFont="1" applyFill="1" applyBorder="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166" fontId="6" fillId="2" borderId="1" xfId="2" applyNumberFormat="1" applyFont="1" applyFill="1" applyBorder="1" applyAlignment="1" applyProtection="1">
      <alignment horizontal="center" vertical="center"/>
      <protection hidden="1"/>
    </xf>
    <xf numFmtId="166" fontId="8" fillId="2" borderId="1" xfId="2" applyNumberFormat="1" applyFont="1" applyFill="1" applyBorder="1" applyAlignment="1" applyProtection="1">
      <alignment horizontal="center" vertical="center"/>
      <protection hidden="1"/>
    </xf>
    <xf numFmtId="0" fontId="11" fillId="2" borderId="12" xfId="2" applyFont="1" applyFill="1" applyBorder="1" applyAlignment="1" applyProtection="1">
      <alignment horizontal="center" vertical="center"/>
      <protection hidden="1"/>
    </xf>
    <xf numFmtId="0" fontId="5" fillId="0" borderId="0" xfId="2" applyFont="1" applyFill="1" applyBorder="1" applyAlignment="1" applyProtection="1">
      <alignment horizontal="center" vertical="center"/>
      <protection hidden="1"/>
    </xf>
    <xf numFmtId="0" fontId="5" fillId="0" borderId="0" xfId="2" applyFont="1" applyFill="1" applyAlignment="1" applyProtection="1">
      <alignment horizontal="center" vertical="center"/>
      <protection hidden="1"/>
    </xf>
    <xf numFmtId="49" fontId="13" fillId="0" borderId="0" xfId="3" applyNumberFormat="1" applyFont="1" applyFill="1" applyBorder="1" applyAlignment="1" applyProtection="1">
      <alignment horizontal="center" vertical="center"/>
      <protection hidden="1"/>
    </xf>
    <xf numFmtId="0" fontId="5" fillId="0" borderId="0" xfId="2" applyFont="1" applyAlignment="1" applyProtection="1">
      <alignment horizontal="right" vertical="center" indent="1"/>
      <protection hidden="1"/>
    </xf>
    <xf numFmtId="1" fontId="5" fillId="3" borderId="1" xfId="2" applyNumberFormat="1" applyFont="1" applyFill="1" applyBorder="1" applyAlignment="1" applyProtection="1">
      <alignment horizontal="center" vertical="center"/>
      <protection locked="0" hidden="1"/>
    </xf>
    <xf numFmtId="172" fontId="5" fillId="3" borderId="1" xfId="3" applyNumberFormat="1" applyFont="1" applyFill="1" applyBorder="1" applyAlignment="1" applyProtection="1">
      <alignment horizontal="center" vertical="center"/>
      <protection locked="0" hidden="1"/>
    </xf>
    <xf numFmtId="2" fontId="5" fillId="5" borderId="1" xfId="2" applyNumberFormat="1" applyFont="1" applyFill="1" applyBorder="1" applyAlignment="1" applyProtection="1">
      <alignment horizontal="center" vertical="center" wrapText="1"/>
      <protection locked="0" hidden="1"/>
    </xf>
    <xf numFmtId="168" fontId="5" fillId="3" borderId="1" xfId="2" applyNumberFormat="1" applyFont="1" applyFill="1" applyBorder="1" applyAlignment="1" applyProtection="1">
      <alignment horizontal="center" vertical="center"/>
      <protection locked="0" hidden="1"/>
    </xf>
    <xf numFmtId="2" fontId="6" fillId="2" borderId="1" xfId="2" applyNumberFormat="1" applyFont="1" applyFill="1" applyBorder="1" applyAlignment="1" applyProtection="1">
      <alignment horizontal="right" vertical="center" wrapText="1" indent="1"/>
      <protection hidden="1"/>
    </xf>
    <xf numFmtId="2" fontId="5" fillId="2" borderId="1" xfId="2" applyNumberFormat="1" applyFont="1" applyFill="1" applyBorder="1" applyAlignment="1" applyProtection="1">
      <alignment horizontal="center" textRotation="90" wrapText="1"/>
      <protection hidden="1"/>
    </xf>
    <xf numFmtId="2" fontId="9" fillId="3" borderId="1" xfId="2" applyNumberFormat="1" applyFont="1" applyFill="1" applyBorder="1" applyAlignment="1" applyProtection="1">
      <alignment horizontal="center" vertical="center" textRotation="90" wrapText="1"/>
      <protection locked="0" hidden="1"/>
    </xf>
    <xf numFmtId="170" fontId="10" fillId="2" borderId="1" xfId="2" applyNumberFormat="1" applyFont="1" applyFill="1" applyBorder="1" applyAlignment="1" applyProtection="1">
      <alignment horizontal="center" vertical="center" textRotation="90" wrapText="1"/>
      <protection hidden="1"/>
    </xf>
    <xf numFmtId="2" fontId="5" fillId="2" borderId="1" xfId="0" applyNumberFormat="1" applyFont="1" applyFill="1" applyBorder="1" applyAlignment="1" applyProtection="1">
      <alignment horizontal="center" textRotation="90" wrapText="1"/>
      <protection hidden="1"/>
    </xf>
    <xf numFmtId="0" fontId="5" fillId="2"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left" vertical="center" wrapText="1"/>
      <protection hidden="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3" borderId="1" xfId="2" applyFont="1" applyFill="1" applyBorder="1" applyAlignment="1" applyProtection="1">
      <alignment horizontal="center" vertical="center" textRotation="90" wrapText="1"/>
      <protection locked="0"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9" xfId="2" applyFont="1" applyFill="1" applyBorder="1" applyAlignment="1" applyProtection="1">
      <alignment horizontal="center" vertical="center"/>
      <protection hidden="1"/>
    </xf>
    <xf numFmtId="2" fontId="7" fillId="2" borderId="1" xfId="2" applyNumberFormat="1" applyFont="1" applyFill="1" applyBorder="1" applyAlignment="1" applyProtection="1">
      <alignment horizontal="center" textRotation="90" wrapText="1"/>
      <protection hidden="1"/>
    </xf>
    <xf numFmtId="0" fontId="5" fillId="3" borderId="1" xfId="0" applyFont="1" applyFill="1" applyBorder="1" applyAlignment="1" applyProtection="1">
      <alignment horizontal="center" vertical="center" textRotation="90" wrapText="1"/>
      <protection locked="0" hidden="1"/>
    </xf>
    <xf numFmtId="0" fontId="5" fillId="2" borderId="8" xfId="0" applyFont="1" applyFill="1" applyBorder="1" applyAlignment="1" applyProtection="1">
      <alignment horizontal="center" vertical="center" wrapText="1"/>
      <protection hidden="1"/>
    </xf>
  </cellXfs>
  <cellStyles count="6">
    <cellStyle name="Açıklama Metni" xfId="1" builtinId="53" customBuiltin="1"/>
    <cellStyle name="Normal" xfId="0" builtinId="0"/>
    <cellStyle name="Normal 2" xfId="2" xr:uid="{00000000-0005-0000-0000-000003000000}"/>
    <cellStyle name="Normal 2 2" xfId="3" xr:uid="{00000000-0005-0000-0000-000004000000}"/>
    <cellStyle name="Virgül 2" xfId="5" xr:uid="{00000000-0005-0000-0000-000005000000}"/>
    <cellStyle name="Yüzde 2" xfId="4" xr:uid="{00000000-0005-0000-0000-000006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AEEF3"/>
      <color rgb="FFC8E1B4"/>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9"/>
            <c:invertIfNegative val="0"/>
            <c:bubble3D val="0"/>
            <c:spPr>
              <a:solidFill>
                <a:srgbClr val="C00000"/>
              </a:solidFill>
              <a:ln>
                <a:noFill/>
              </a:ln>
              <a:effectLst/>
            </c:spPr>
            <c:extLst>
              <c:ext xmlns:c16="http://schemas.microsoft.com/office/drawing/2014/chart" uri="{C3380CC4-5D6E-409C-BE32-E72D297353CC}">
                <c16:uniqueId val="{00000035-32E1-4D6E-B8D7-D67430E1731E}"/>
              </c:ext>
            </c:extLst>
          </c:dPt>
          <c:dPt>
            <c:idx val="10"/>
            <c:invertIfNegative val="0"/>
            <c:bubble3D val="0"/>
            <c:spPr>
              <a:solidFill>
                <a:srgbClr val="C00000"/>
              </a:solidFill>
              <a:ln>
                <a:noFill/>
              </a:ln>
              <a:effectLst/>
            </c:spPr>
            <c:extLst>
              <c:ext xmlns:c16="http://schemas.microsoft.com/office/drawing/2014/chart" uri="{C3380CC4-5D6E-409C-BE32-E72D297353CC}">
                <c16:uniqueId val="{00000036-32E1-4D6E-B8D7-D67430E1731E}"/>
              </c:ext>
            </c:extLst>
          </c:dPt>
          <c:dPt>
            <c:idx val="11"/>
            <c:invertIfNegative val="0"/>
            <c:bubble3D val="0"/>
            <c:spPr>
              <a:solidFill>
                <a:srgbClr val="C00000"/>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rgbClr val="C00000"/>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rgbClr val="C00000"/>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chemeClr val="bg1">
                  <a:lumMod val="50000"/>
                </a:schemeClr>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rgbClr val="C00000"/>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chemeClr val="bg1">
                  <a:lumMod val="50000"/>
                </a:schemeClr>
              </a:solidFill>
              <a:ln>
                <a:noFill/>
              </a:ln>
              <a:effectLst/>
            </c:spPr>
            <c:extLst>
              <c:ext xmlns:c16="http://schemas.microsoft.com/office/drawing/2014/chart" uri="{C3380CC4-5D6E-409C-BE32-E72D297353CC}">
                <c16:uniqueId val="{0000002D-15C5-4CF9-A126-8061EA1D968F}"/>
              </c:ext>
            </c:extLst>
          </c:dPt>
          <c:dPt>
            <c:idx val="20"/>
            <c:invertIfNegative val="0"/>
            <c:bubble3D val="0"/>
            <c:spPr>
              <a:solidFill>
                <a:schemeClr val="tx1"/>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Tablo'!$P$1:$P$16</c:f>
              <c:strCache>
                <c:ptCount val="16"/>
                <c:pt idx="0">
                  <c:v>Normal Çalışma</c:v>
                </c:pt>
                <c:pt idx="1">
                  <c:v>Kıdem Yardımı</c:v>
                </c:pt>
                <c:pt idx="2">
                  <c:v>Fazla Çalışma (Gündüz / Gece)</c:v>
                </c:pt>
                <c:pt idx="3">
                  <c:v>Resmi Tatillerde Çalışma</c:v>
                </c:pt>
                <c:pt idx="4">
                  <c:v>Yemek Yardımı</c:v>
                </c:pt>
                <c:pt idx="5">
                  <c:v>İkramiye Yardımı</c:v>
                </c:pt>
                <c:pt idx="6">
                  <c:v>Sosyal Yardım</c:v>
                </c:pt>
                <c:pt idx="7">
                  <c:v>Mâli Sorumluluk Primi</c:v>
                </c:pt>
                <c:pt idx="8">
                  <c:v>Nakdi Yardımlar</c:v>
                </c:pt>
                <c:pt idx="9">
                  <c:v>Sendika Üyelik Aidatı Kesintisi</c:v>
                </c:pt>
                <c:pt idx="10">
                  <c:v>BES Kesintisi</c:v>
                </c:pt>
                <c:pt idx="11">
                  <c:v>Damga Vergisi Kesintisi</c:v>
                </c:pt>
                <c:pt idx="12">
                  <c:v>SGK Prim Kesintisi</c:v>
                </c:pt>
                <c:pt idx="13">
                  <c:v>SGK İşsizlik Primi Kesintisi</c:v>
                </c:pt>
                <c:pt idx="14">
                  <c:v>Gelir Vergisi Kesintisi</c:v>
                </c:pt>
                <c:pt idx="15">
                  <c:v>İşveren Maliyeti</c:v>
                </c:pt>
              </c:strCache>
            </c:strRef>
          </c:cat>
          <c:val>
            <c:numRef>
              <c:f>'Özet Tablo'!$Q$1:$Q$16</c:f>
              <c:numCache>
                <c:formatCode>#,##0.00\ "₺"</c:formatCode>
                <c:ptCount val="16"/>
                <c:pt idx="0">
                  <c:v>47416.337585157074</c:v>
                </c:pt>
                <c:pt idx="1">
                  <c:v>0</c:v>
                </c:pt>
                <c:pt idx="2">
                  <c:v>0</c:v>
                </c:pt>
                <c:pt idx="3">
                  <c:v>0</c:v>
                </c:pt>
                <c:pt idx="4">
                  <c:v>10686.932892495264</c:v>
                </c:pt>
                <c:pt idx="5">
                  <c:v>15389.439435746772</c:v>
                </c:pt>
                <c:pt idx="6">
                  <c:v>8431.3120921222926</c:v>
                </c:pt>
                <c:pt idx="7">
                  <c:v>0</c:v>
                </c:pt>
                <c:pt idx="8">
                  <c:v>0</c:v>
                </c:pt>
                <c:pt idx="9">
                  <c:v>2099.5740000000005</c:v>
                </c:pt>
                <c:pt idx="10">
                  <c:v>0</c:v>
                </c:pt>
                <c:pt idx="11">
                  <c:v>404.88756330000001</c:v>
                </c:pt>
                <c:pt idx="12">
                  <c:v>16603.832000000002</c:v>
                </c:pt>
                <c:pt idx="13">
                  <c:v>1185.9880000000003</c:v>
                </c:pt>
                <c:pt idx="14">
                  <c:v>11017.970000000001</c:v>
                </c:pt>
                <c:pt idx="15">
                  <c:v>142357.02355000001</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Tablo'!$P$17:$P$18</c:f>
              <c:strCache>
                <c:ptCount val="2"/>
                <c:pt idx="0">
                  <c:v>Kazançlar</c:v>
                </c:pt>
                <c:pt idx="1">
                  <c:v>Kesintiler</c:v>
                </c:pt>
              </c:strCache>
            </c:strRef>
          </c:cat>
          <c:val>
            <c:numRef>
              <c:f>'Özet Tablo'!$Q$17:$Q$18</c:f>
              <c:numCache>
                <c:formatCode>#,##0.00\ "₺"</c:formatCode>
                <c:ptCount val="2"/>
                <c:pt idx="0">
                  <c:v>90882.61843670001</c:v>
                </c:pt>
                <c:pt idx="1">
                  <c:v>31312.251563299986</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19</xdr:col>
      <xdr:colOff>53463</xdr:colOff>
      <xdr:row>0</xdr:row>
      <xdr:rowOff>70921</xdr:rowOff>
    </xdr:from>
    <xdr:to>
      <xdr:col>19</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4966692</xdr:colOff>
      <xdr:row>8</xdr:row>
      <xdr:rowOff>125886</xdr:rowOff>
    </xdr:from>
    <xdr:to>
      <xdr:col>19</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LY363"/>
  <sheetViews>
    <sheetView showGridLines="0" showRowColHeaders="0" tabSelected="1" showWhiteSpace="0" zoomScale="40" zoomScaleNormal="40" zoomScaleSheetLayoutView="40" zoomScalePageLayoutView="55" workbookViewId="0">
      <pane xSplit="2" topLeftCell="C1" activePane="topRight" state="frozen"/>
      <selection pane="topRight" sqref="A1:A14"/>
    </sheetView>
  </sheetViews>
  <sheetFormatPr defaultColWidth="0" defaultRowHeight="39.950000000000003" customHeight="1" zeroHeight="1" x14ac:dyDescent="0.25"/>
  <cols>
    <col min="1" max="12" width="12.7109375" style="14" customWidth="1"/>
    <col min="13" max="15" width="20.7109375" style="14" customWidth="1"/>
    <col min="16" max="18" width="0.140625" style="50" customWidth="1"/>
    <col min="19" max="19" width="5.7109375" style="51" customWidth="1"/>
    <col min="20" max="20" width="110.7109375" style="14" customWidth="1"/>
    <col min="21" max="22" width="20.7109375" style="50" hidden="1" customWidth="1"/>
    <col min="23" max="24" width="5.7109375" style="51" customWidth="1"/>
    <col min="25" max="25" width="80.7109375" style="51" customWidth="1"/>
    <col min="26" max="26" width="5.7109375" style="51" customWidth="1"/>
    <col min="27" max="106" width="5.7109375" style="7" hidden="1" customWidth="1"/>
    <col min="107" max="109" width="20.7109375" style="7" hidden="1" customWidth="1"/>
    <col min="110" max="110" width="1.7109375" style="14" customWidth="1"/>
    <col min="111" max="337" width="0" style="14" hidden="1" customWidth="1"/>
    <col min="338" max="16384" width="5.7109375" style="14" hidden="1"/>
  </cols>
  <sheetData>
    <row r="1" spans="1:110" ht="39.950000000000003" customHeight="1" x14ac:dyDescent="0.25">
      <c r="A1" s="60" t="s">
        <v>78</v>
      </c>
      <c r="B1" s="61">
        <f>COUNTIFS($A$1,"İskele Baş Personeli-Üniversite")*($AC$1)
+COUNTIFS($A$1,"İskele Baş Personeli-MYO")*($AC$2)
+COUNTIFS($A$1,"İskele Baş Personeli-Lise")*($AC$3)
+COUNTIFS($A$1,"Gişe Memuru-Üniversite")*($AC$4)
+COUNTIFS($A$1,"Gişe Memuru-MYO")*($AC$5)
+COUNTIFS($A$1,"Gişe Memuru-Lise")*($AC$6)
+COUNTIFS($A$1,"Bakım Onarım Elektrik-Elektronik Ustası")*($AC$7)
+COUNTIFS($A$1,"Atölye Ustabaşı")*($AC$8)
+COUNTIFS($A$1,"Motor Ustabaşı Yardımcısı")*($AC$9)
+COUNTIFS($A$1,"Motor Teknisyeni")*($AC$10)
+COUNTIFS($A$1,"Elektrik Bakım Onarım Personeli")*($AC$11)
+COUNTIFS($A$1,"Kaynakçı")*($AC$12)
+COUNTIFS($A$1,"Motorcu")*($AC$13)
+COUNTIFS($A$1,"Elektrikçi")*($AC$14)
+COUNTIFS($A$1,"Marangoz")*($AC$15)
+COUNTIFS($A$1,"Marangoz Yardımcısı")*($AC$16)
+COUNTIFS($A$1,"Atölye Personeli")*($AC$17)
+COUNTIFS($A$1,"Ambar Personeli-MYO")*($AC$18)
+COUNTIFS($A$1,"Ambar Personeli-Lise")*($AC$19)
+COUNTIFS($A$1,"İskele Personeli")*($AC$20)
+COUNTIFS($A$1,"Temizlik Personeli")*($AC$21)
+COUNTIFS($A$1,"Güvenlik Personeli")*($AC$22)</f>
        <v>215.7</v>
      </c>
      <c r="C1" s="59" t="s">
        <v>54</v>
      </c>
      <c r="D1" s="59" t="s">
        <v>55</v>
      </c>
      <c r="E1" s="62" t="s">
        <v>69</v>
      </c>
      <c r="F1" s="62" t="s">
        <v>56</v>
      </c>
      <c r="G1" s="59" t="s">
        <v>57</v>
      </c>
      <c r="H1" s="59" t="s">
        <v>96</v>
      </c>
      <c r="I1" s="59" t="s">
        <v>58</v>
      </c>
      <c r="J1" s="59" t="s">
        <v>58</v>
      </c>
      <c r="K1" s="59" t="s">
        <v>58</v>
      </c>
      <c r="L1" s="59" t="s">
        <v>59</v>
      </c>
      <c r="M1" s="59" t="s">
        <v>70</v>
      </c>
      <c r="N1" s="59" t="s">
        <v>71</v>
      </c>
      <c r="O1" s="73" t="s">
        <v>67</v>
      </c>
      <c r="P1" s="1" t="s">
        <v>29</v>
      </c>
      <c r="Q1" s="2">
        <f t="shared" ref="Q1:Q4" ca="1" si="0">IF(R1&gt;0,R1,R1*-1)</f>
        <v>47416.337585157074</v>
      </c>
      <c r="R1" s="2">
        <f ca="1">COUNTIF(S1,"Ocak")*(AV11)
+COUNTIF(S1,"Şubat")*(AV12)
+COUNTIF(S1,"Mart")*(AV13)
+COUNTIF(S1,"Nisan")*(AV14)
+COUNTIF(S1,"Mayıs")*(AV15)
+COUNTIF(S1,"Haziran")*(AV16)
+COUNTIF(S1,"Temmuz")*(AV17)
+COUNTIF(S1,"Ağustos")*(AV18)
+COUNTIF(S1,"Eylül")*(AV19)
+COUNTIF(S1,"Ekim")*(AV20)
+COUNTIF(S1,"Kasım")*(AV21)
+COUNTIF(S1,"Aralık")*(AV22)
+COUNTIF(S1,"Yıllık Toplam")*(AV23)
+COUNTIF(S1,"Yıllık Ortalama")*(AV24)</f>
        <v>47416.337585157074</v>
      </c>
      <c r="S1" s="68" t="s">
        <v>52</v>
      </c>
      <c r="T1" s="72"/>
      <c r="U1" s="3" t="s">
        <v>23</v>
      </c>
      <c r="V1" s="3" t="s">
        <v>72</v>
      </c>
      <c r="W1" s="74" t="s">
        <v>39</v>
      </c>
      <c r="X1" s="65"/>
      <c r="Y1" s="66"/>
      <c r="Z1" s="67"/>
      <c r="AA1" s="4" t="s">
        <v>74</v>
      </c>
      <c r="AB1" s="5">
        <v>254.77</v>
      </c>
      <c r="AC1" s="5">
        <v>254.77</v>
      </c>
      <c r="AD1" s="6">
        <f>(10%)</f>
        <v>0.1</v>
      </c>
      <c r="AE1" s="7" t="s">
        <v>0</v>
      </c>
      <c r="AF1" s="8">
        <f>($AF$7*$AD$1)</f>
        <v>500.40000000000003</v>
      </c>
      <c r="AG1" s="8">
        <f>($AG$7*$AD$1)</f>
        <v>647.1</v>
      </c>
      <c r="AH1" s="8">
        <f ca="1">(AU11+AX11+BA11+BD11+BC11+AW11+BG19+BM19+BP19+BS19+AH5)</f>
        <v>7682.7200000000012</v>
      </c>
      <c r="AI1" s="8">
        <f ca="1">(AU11+AX11+BA11+BD11+BC11+AW11+BG19+BM19+BP19+BS19+AH5)</f>
        <v>7682.7200000000012</v>
      </c>
      <c r="AJ1" s="8">
        <f ca="1">(AI1*0.00759*-1)</f>
        <v>-58.31184480000001</v>
      </c>
      <c r="AK1" s="8">
        <f>(AS5)</f>
        <v>5004</v>
      </c>
      <c r="AL1" s="8">
        <f>(AK1*0.00759*-1)</f>
        <v>-37.980360000000005</v>
      </c>
      <c r="AM1" s="8">
        <f ca="1">(AI1-AK1)</f>
        <v>2678.7200000000012</v>
      </c>
      <c r="AN1" s="8">
        <f ca="1">(AM1*0.00759*-1)</f>
        <v>-20.331484800000009</v>
      </c>
      <c r="AO1" s="8">
        <f ca="1">(AN1)</f>
        <v>-20.331484800000009</v>
      </c>
      <c r="AP1" s="8">
        <f>(AW1+BJ19+BU19+AI5)</f>
        <v>260.26</v>
      </c>
      <c r="AQ1" s="8">
        <f ca="1">(AI1-AP1)</f>
        <v>7422.4600000000009</v>
      </c>
      <c r="AR1" s="8">
        <f ca="1">IF(AQ1&gt;=AR5*7.5,AR5*7.5,AQ1)</f>
        <v>7422.4600000000009</v>
      </c>
      <c r="AS1" s="8">
        <f ca="1">(AU1+AV1+AY1+AZ1+BC1)</f>
        <v>941.00446439999996</v>
      </c>
      <c r="AT1" s="8">
        <f>(AW11)</f>
        <v>1269.8400000000001</v>
      </c>
      <c r="AU1" s="8">
        <f>(AW11)</f>
        <v>1269.8400000000001</v>
      </c>
      <c r="AV1" s="8">
        <f>(AU1*0.00759*-1)</f>
        <v>-9.6380856000000019</v>
      </c>
      <c r="AW1" s="8">
        <f>(10.01*G15)</f>
        <v>260.26</v>
      </c>
      <c r="AX1" s="8">
        <f>(AU1-AW1)</f>
        <v>1009.5800000000002</v>
      </c>
      <c r="AY1" s="8">
        <f>(AX1*0.14*-1)</f>
        <v>-141.34120000000004</v>
      </c>
      <c r="AZ1" s="8">
        <f>(AX1*0.01*-1)</f>
        <v>-10.095800000000002</v>
      </c>
      <c r="BA1" s="8">
        <f>(0)</f>
        <v>0</v>
      </c>
      <c r="BB1" s="8">
        <f>(AU1+AY1+AZ1-BA1)</f>
        <v>1118.403</v>
      </c>
      <c r="BC1" s="8">
        <f ca="1">(BB1*CV2*-1)</f>
        <v>-167.76044999999999</v>
      </c>
      <c r="BD1" s="9">
        <f ca="1">(CA10*L21+BE1)*-1</f>
        <v>0</v>
      </c>
      <c r="BE1" s="9">
        <f t="shared" ref="BE1:BE6" si="1">(BA17+BD17+BC17+AW17-BJ11)*(L21*-1)</f>
        <v>0</v>
      </c>
      <c r="BF1" s="9">
        <f t="shared" ref="BF1:BF6" ca="1" si="2">(BD1+BE1)</f>
        <v>0</v>
      </c>
      <c r="BG1" s="8" t="s">
        <v>0</v>
      </c>
      <c r="BH1" s="8">
        <f>(6471)</f>
        <v>6471</v>
      </c>
      <c r="BI1" s="8">
        <f>(6471)</f>
        <v>6471</v>
      </c>
      <c r="BJ1" s="8">
        <f t="shared" ref="BJ1:BJ6" si="3">(BH1-BI1)</f>
        <v>0</v>
      </c>
      <c r="BK1" s="8">
        <f t="shared" ref="BK1:BK6" si="4">(BJ1*0.00759*-1)</f>
        <v>0</v>
      </c>
      <c r="BL1" s="8">
        <f>(0)</f>
        <v>0</v>
      </c>
      <c r="BM1" s="8">
        <f t="shared" ref="BM1:BM6" si="5">(BH1-BL1)</f>
        <v>6471</v>
      </c>
      <c r="BN1" s="8">
        <f t="shared" ref="BN1:BN6" si="6">(BM1*0.14*-1)</f>
        <v>-905.94</v>
      </c>
      <c r="BO1" s="8">
        <f t="shared" ref="BO1:BO6" si="7">(BM1*0.01*-1)</f>
        <v>-64.710000000000008</v>
      </c>
      <c r="BP1" s="10">
        <v>0</v>
      </c>
      <c r="BQ1" s="8">
        <f ca="1">(BR1/CE9/30*BP1)</f>
        <v>0</v>
      </c>
      <c r="BR1" s="8">
        <f>(0/30*BP1)</f>
        <v>0</v>
      </c>
      <c r="BS1" s="8">
        <f>(0)</f>
        <v>0</v>
      </c>
      <c r="BT1" s="8">
        <f>(0)</f>
        <v>0</v>
      </c>
      <c r="BU1" s="8">
        <f>(0)</f>
        <v>0</v>
      </c>
      <c r="BV1" s="10">
        <v>0</v>
      </c>
      <c r="BW1" s="8">
        <f>(AR18*BV1)</f>
        <v>0</v>
      </c>
      <c r="BX1" s="8">
        <f ca="1">(BW1*CE9)</f>
        <v>0</v>
      </c>
      <c r="BY1" s="10">
        <v>30</v>
      </c>
      <c r="BZ1" s="8">
        <f>(1046.47/30*BY1)</f>
        <v>1046.47</v>
      </c>
      <c r="CA1" s="8">
        <f ca="1">(BZ1*CE9)</f>
        <v>703.65689269999996</v>
      </c>
      <c r="CC1" s="8">
        <f>COUNTIF($A$1,"İskele Baş Personeli-Üniversite")*(223.5/30*H22)
+COUNTIF($A$1,"İskele Baş Personeli-MYO")*(223.5/30*H22)
+COUNTIF($A$1,"İskele Baş Personeli-Lise")*(223.5/30*H22)
+COUNTIF($A$1,"Gişe Memuru-Üniversite")*(223.5/30*H22)
+COUNTIF($A$1,"Gişe Memuru-MYO")*(223.5/30*H22)
+COUNTIF($A$1,"Gişe Memuru-Lise")*(223.5/30*H22)</f>
        <v>0</v>
      </c>
      <c r="CD1" s="8">
        <f ca="1">(CC1*CE9)</f>
        <v>0</v>
      </c>
      <c r="CE1" s="8">
        <f>(CC1)</f>
        <v>0</v>
      </c>
      <c r="CG1" s="8" t="s">
        <v>0</v>
      </c>
      <c r="CH1" s="8">
        <f ca="1">(AI1)</f>
        <v>7682.7200000000012</v>
      </c>
      <c r="CI1" s="8">
        <f ca="1">(CH1*0.205)</f>
        <v>1574.9576000000002</v>
      </c>
      <c r="CJ1" s="8">
        <f ca="1">(CH1*0.01)</f>
        <v>76.827200000000019</v>
      </c>
      <c r="CK1" s="8">
        <f ca="1">(CH1*0.05*-1)</f>
        <v>-384.13600000000008</v>
      </c>
      <c r="CL1" s="8">
        <f ca="1">(CH1+CI1+CJ1+CK1)</f>
        <v>8950.3688000000002</v>
      </c>
      <c r="CM1" s="11" t="s">
        <v>1</v>
      </c>
      <c r="CN1" s="11" t="s">
        <v>73</v>
      </c>
      <c r="CS1" s="8">
        <f>(0)</f>
        <v>0</v>
      </c>
      <c r="CT1" s="12">
        <f>(0%)</f>
        <v>0</v>
      </c>
      <c r="DF1" s="13"/>
    </row>
    <row r="2" spans="1:110" ht="39.950000000000003" customHeight="1" x14ac:dyDescent="0.25">
      <c r="A2" s="60"/>
      <c r="B2" s="61"/>
      <c r="C2" s="59"/>
      <c r="D2" s="59"/>
      <c r="E2" s="62"/>
      <c r="F2" s="62"/>
      <c r="G2" s="59"/>
      <c r="H2" s="59"/>
      <c r="I2" s="59"/>
      <c r="J2" s="59"/>
      <c r="K2" s="59"/>
      <c r="L2" s="59"/>
      <c r="M2" s="59"/>
      <c r="N2" s="59"/>
      <c r="O2" s="73"/>
      <c r="P2" s="1" t="s">
        <v>2</v>
      </c>
      <c r="Q2" s="2">
        <f t="shared" ca="1" si="0"/>
        <v>0</v>
      </c>
      <c r="R2" s="2">
        <f ca="1">COUNTIF(S1,"Ocak")*(AY11)
+COUNTIF(S1,"Şubat")*(AY12)
+COUNTIF(S1,"Mart")*(AY13)
+COUNTIF(S1,"Nisan")*(AY14)
+COUNTIF(S1,"Mayıs")*(AY15)
+COUNTIF(S1,"Haziran")*(AY16)
+COUNTIF(S1,"Temmuz")*(AY17)
+COUNTIF(S1,"Ağustos")*(AY18)
+COUNTIF(S1,"Eylül")*(AY19)
+COUNTIF(S1,"Ekim")*(AY20)
+COUNTIF(S1,"Kasım")*(AY21)
+COUNTIF(S1,"Aralık")*(AY22)
+COUNTIF(S1,"Yıllık Toplam")*(AY23)
+COUNTIF(S1,"Yıllık Ortalama")*(AY24)</f>
        <v>0</v>
      </c>
      <c r="S2" s="68"/>
      <c r="T2" s="72"/>
      <c r="U2" s="15" t="s">
        <v>22</v>
      </c>
      <c r="V2" s="16" t="s">
        <v>101</v>
      </c>
      <c r="W2" s="74"/>
      <c r="X2" s="75"/>
      <c r="Y2" s="64" t="str">
        <f>IF($W$1="Analık Hâli İzni",$V$1,
IF($W$1="Annelik İzni",$V$2,
IF($W$1="Babalık İzni",$V$3,
IF($W$1="Cenaze İzni",$V$4,
IF($W$1="Doğal Afet İzni",$V$5,
IF($W$1="Engelli Çocuk İzni",$V$6,
IF($W$1="Evlat Edinme İzni",$V$7,
IF($W$1="Evlilik İzni",$V$8,
IF($W$1="İş Arama İzni",$V$9,
IF($W$1="Mazeret İzni",$V$10,
IF($W$1="Süt İzni",$V$11,
IF($W$1="Ücretli Sendikal İzin ve Sendika Temsilci Sayısı",$V$12,
IF($W$1="Ücretli Yıllık İzin",$V$13,
IF($W$1="Yol İzni",$V$14))))))))))))))</f>
        <v>a) Hizmeti 6 ay olanlar için 0 iş günü ücretli yıllık izin verilir.
Hizmeti 1-5 yıl olanlar için 18 iş günü ücretli yıllık izin verilir.
Hizmeti 5-10 yıl olanlar için 23 iş günü ücretli yıllık izin verilir.
Hizmeti 10-15 yıl olanlar için 23 iş günü ücretli yıllık izin verilir.
Hizmeti 15 yıldan fazla olanlar için 28 iş günü ücretli yıllık izin verilir.</v>
      </c>
      <c r="Z2" s="63"/>
      <c r="AA2" s="4" t="s">
        <v>75</v>
      </c>
      <c r="AB2" s="5">
        <v>245.33</v>
      </c>
      <c r="AC2" s="5">
        <v>245.33</v>
      </c>
      <c r="AD2" s="6">
        <f>(2%)</f>
        <v>0.02</v>
      </c>
      <c r="AE2" s="7" t="s">
        <v>0</v>
      </c>
      <c r="AF2" s="8">
        <f>($AF$7*$AD$2)</f>
        <v>100.08</v>
      </c>
      <c r="AG2" s="8">
        <f>($AG$7*$AD$2)</f>
        <v>129.42000000000002</v>
      </c>
      <c r="AH2" s="8">
        <f ca="1">(AU12+AX12+BA12+BD12+BC12+AW12+BG20+BM20+BP20+BS20+AH6)</f>
        <v>7065.71</v>
      </c>
      <c r="AI2" s="8">
        <f ca="1">(AU12+AX12+BA12+BD12+BC12+AW12+BG20+BM20+BP20+BS20+AH6)</f>
        <v>7065.71</v>
      </c>
      <c r="AJ2" s="8">
        <f ca="1">(AI2*0.00759*-1)</f>
        <v>-53.628738900000002</v>
      </c>
      <c r="AK2" s="8">
        <f>(AS6)</f>
        <v>5004</v>
      </c>
      <c r="AL2" s="8">
        <f>(AK2*0.00759*-1)</f>
        <v>-37.980360000000005</v>
      </c>
      <c r="AM2" s="8">
        <f ca="1">(AI2-AK2)</f>
        <v>2061.71</v>
      </c>
      <c r="AN2" s="8">
        <f ca="1">(AM2*0.00759*-1)</f>
        <v>-15.648378900000001</v>
      </c>
      <c r="AO2" s="8">
        <f ca="1">(AN2)</f>
        <v>-15.648378900000001</v>
      </c>
      <c r="AP2" s="8">
        <f>(AW2+BJ20+BU20+AI6)</f>
        <v>240.24</v>
      </c>
      <c r="AQ2" s="8">
        <f ca="1">(AI2-AP2)</f>
        <v>6825.47</v>
      </c>
      <c r="AR2" s="8">
        <f ca="1">IF(AQ2&gt;=AR6*7.5,AR6*7.5,AQ2)</f>
        <v>6825.47</v>
      </c>
      <c r="AS2" s="8">
        <f ca="1">(AU2+AV2+AY2+AZ2+BC2)</f>
        <v>868.6195055999998</v>
      </c>
      <c r="AT2" s="8">
        <f>(AW12)</f>
        <v>1172.1600000000001</v>
      </c>
      <c r="AU2" s="8">
        <f>(AW12)</f>
        <v>1172.1600000000001</v>
      </c>
      <c r="AV2" s="8">
        <f>(AU2*0.00759*-1)</f>
        <v>-8.8966944000000012</v>
      </c>
      <c r="AW2" s="8">
        <f>(10.01*G16)</f>
        <v>240.24</v>
      </c>
      <c r="AX2" s="8">
        <f>(AU2-AW2)</f>
        <v>931.92000000000007</v>
      </c>
      <c r="AY2" s="8">
        <f>(AX2*0.14*-1)</f>
        <v>-130.46880000000002</v>
      </c>
      <c r="AZ2" s="8">
        <f>(AX2*0.01*-1)</f>
        <v>-9.3192000000000004</v>
      </c>
      <c r="BA2" s="8">
        <f>(0)</f>
        <v>0</v>
      </c>
      <c r="BB2" s="8">
        <f>(AU2+AY2+AZ2-BA2)</f>
        <v>1032.3720000000001</v>
      </c>
      <c r="BC2" s="8">
        <f ca="1">(BB2*CV3*-1)</f>
        <v>-154.85580000000002</v>
      </c>
      <c r="BD2" s="9">
        <f ca="1">(CA11*L22+BE2)*-1</f>
        <v>0</v>
      </c>
      <c r="BE2" s="9">
        <f t="shared" si="1"/>
        <v>0</v>
      </c>
      <c r="BF2" s="9">
        <f t="shared" ca="1" si="2"/>
        <v>0</v>
      </c>
      <c r="BG2" s="8" t="s">
        <v>0</v>
      </c>
      <c r="BH2" s="8">
        <f>(6471)</f>
        <v>6471</v>
      </c>
      <c r="BI2" s="8">
        <f>(6471)</f>
        <v>6471</v>
      </c>
      <c r="BJ2" s="8">
        <f t="shared" si="3"/>
        <v>0</v>
      </c>
      <c r="BK2" s="8">
        <f t="shared" si="4"/>
        <v>0</v>
      </c>
      <c r="BL2" s="8">
        <f>(0)</f>
        <v>0</v>
      </c>
      <c r="BM2" s="8">
        <f t="shared" si="5"/>
        <v>6471</v>
      </c>
      <c r="BN2" s="8">
        <f t="shared" si="6"/>
        <v>-905.94</v>
      </c>
      <c r="BO2" s="8">
        <f t="shared" si="7"/>
        <v>-64.710000000000008</v>
      </c>
      <c r="BP2" s="10">
        <v>0</v>
      </c>
      <c r="BQ2" s="8">
        <f ca="1">(BR2/CE10/30*BP2)</f>
        <v>0</v>
      </c>
      <c r="BR2" s="8">
        <f>(0/30*BP2)</f>
        <v>0</v>
      </c>
      <c r="BS2" s="8">
        <f>(0)</f>
        <v>0</v>
      </c>
      <c r="BT2" s="8">
        <f>(0)</f>
        <v>0</v>
      </c>
      <c r="BU2" s="8">
        <f>(0)</f>
        <v>0</v>
      </c>
      <c r="BV2" s="10">
        <v>30</v>
      </c>
      <c r="BW2" s="8">
        <f>(AR19*BV2)</f>
        <v>6471</v>
      </c>
      <c r="BX2" s="8">
        <f ca="1">(BW2*CE10)</f>
        <v>4218.5298697467715</v>
      </c>
      <c r="BY2" s="10">
        <v>30</v>
      </c>
      <c r="BZ2" s="8">
        <f>(1046.47/30*BY2)</f>
        <v>1046.47</v>
      </c>
      <c r="CA2" s="8">
        <f ca="1">(BZ2*CE10)</f>
        <v>682.20753404325524</v>
      </c>
      <c r="CC2" s="8">
        <f>COUNTIF($A$1,"İskele Baş Personeli-Üniversite")*(223.5/30*H23)
+COUNTIF($A$1,"İskele Baş Personeli-MYO")*(223.5/30*H23)
+COUNTIF($A$1,"İskele Baş Personeli-Lise")*(223.5/30*H23)
+COUNTIF($A$1,"Gişe Memuru-Üniversite")*(223.5/30*H23)
+COUNTIF($A$1,"Gişe Memuru-MYO")*(223.5/30*H23)
+COUNTIF($A$1,"Gişe Memuru-Lise")*(223.5/30*H23)</f>
        <v>0</v>
      </c>
      <c r="CD2" s="8">
        <f ca="1">(CC2*CE10)</f>
        <v>0</v>
      </c>
      <c r="CE2" s="8">
        <f>(CC2)</f>
        <v>0</v>
      </c>
      <c r="CG2" s="8" t="s">
        <v>0</v>
      </c>
      <c r="CH2" s="8">
        <f ca="1">(AI2)</f>
        <v>7065.71</v>
      </c>
      <c r="CI2" s="8">
        <f t="shared" ref="CI2:CI12" ca="1" si="8">(CH2*0.205)</f>
        <v>1448.47055</v>
      </c>
      <c r="CJ2" s="8">
        <f t="shared" ref="CJ2:CJ12" ca="1" si="9">(CH2*0.01)</f>
        <v>70.6571</v>
      </c>
      <c r="CK2" s="8">
        <f t="shared" ref="CK2:CK12" ca="1" si="10">(CH2*0.05*-1)</f>
        <v>-353.28550000000001</v>
      </c>
      <c r="CL2" s="8">
        <f t="shared" ref="CL2:CL12" ca="1" si="11">(CH2+CI2+CJ2+CK2)</f>
        <v>8231.5521500000013</v>
      </c>
      <c r="CM2" s="17" t="s">
        <v>60</v>
      </c>
      <c r="CN2" s="9">
        <v>207.43</v>
      </c>
      <c r="CO2" s="8">
        <f ca="1">(AR1*0.14*-1)</f>
        <v>-1039.1444000000001</v>
      </c>
      <c r="CP2" s="8">
        <f ca="1">(AR1*0.01*-1)</f>
        <v>-74.224600000000009</v>
      </c>
      <c r="CQ2" s="8">
        <f>(BA1+BK19+AI5+AM5)</f>
        <v>155.79900000000001</v>
      </c>
      <c r="CR2" s="8">
        <f ca="1">(AI1+CO2+CP2-CQ2)</f>
        <v>6413.5520000000006</v>
      </c>
      <c r="CS2" s="8">
        <f ca="1">SUM($CR$2:CR2)</f>
        <v>6413.5520000000006</v>
      </c>
      <c r="CT2" s="12">
        <f t="shared" ref="CT2:CT13" ca="1" si="12">IF(CS2&lt;=$BZ$16,$BX$16,
IF(CS2&gt;$BZ$18,
IF(CS2&gt;$BZ$19,$BX$20,$BX$19),
IF(CS2&lt;$BZ$17,$BX$17,$BX$18)))</f>
        <v>0.15</v>
      </c>
      <c r="CU2" s="18">
        <f ca="1">IF(CT2-CT1=0,0,1)</f>
        <v>1</v>
      </c>
      <c r="CV2" s="19">
        <f t="shared" ref="CV2:CV13" ca="1" si="13">(IF(CU2=0,CT2,(VLOOKUP($CT2,$BX$16:$CA$20,2,0)-CS1)/CR2*CT1+(CS2-VLOOKUP($CT2,$BX$16:$CA$20,2,0))/CR2*CT2))</f>
        <v>0.15</v>
      </c>
      <c r="CW2" s="8">
        <f ca="1">(ROUND(CR2*CV2,2)*(-1)+VLOOKUP(CT2,$BX$16:$CA$20,4,0)*(-1))</f>
        <v>-962.03</v>
      </c>
      <c r="CX2" s="8">
        <f t="shared" ref="CX2:CX8" si="14">(CH16)</f>
        <v>638.01</v>
      </c>
      <c r="CY2" s="8">
        <f ca="1">(CW2+CX2)</f>
        <v>-324.02</v>
      </c>
      <c r="CZ2" s="19">
        <f>(100+(100*0.00759*-1)+(100*0.14*-1)+(100*0.01*-1))/100</f>
        <v>0.84240999999999999</v>
      </c>
      <c r="DA2" s="19">
        <f ca="1">(100+(100*0.00759*-1)+(100*0.14*-1)+(100*0.01*-1)+(100+100*0.14*-1+100*0.01*-1)*CV2*-1)/100</f>
        <v>0.71491000000000005</v>
      </c>
      <c r="DB2" s="19">
        <f ca="1">(100+(100*0.00759*-1)+(100)*CV2*-1)/100</f>
        <v>0.84240999999999999</v>
      </c>
      <c r="DC2" s="7">
        <v>0</v>
      </c>
      <c r="DD2" s="20">
        <v>0</v>
      </c>
      <c r="DE2" s="21">
        <v>0</v>
      </c>
      <c r="DF2" s="22"/>
    </row>
    <row r="3" spans="1:110" ht="39.950000000000003" customHeight="1" x14ac:dyDescent="0.25">
      <c r="A3" s="60"/>
      <c r="B3" s="61"/>
      <c r="C3" s="59"/>
      <c r="D3" s="59"/>
      <c r="E3" s="62"/>
      <c r="F3" s="62"/>
      <c r="G3" s="59"/>
      <c r="H3" s="59"/>
      <c r="I3" s="59"/>
      <c r="J3" s="59"/>
      <c r="K3" s="59"/>
      <c r="L3" s="59"/>
      <c r="M3" s="59"/>
      <c r="N3" s="59"/>
      <c r="O3" s="73"/>
      <c r="P3" s="1" t="s">
        <v>50</v>
      </c>
      <c r="Q3" s="2">
        <f t="shared" ca="1" si="0"/>
        <v>0</v>
      </c>
      <c r="R3" s="2">
        <f ca="1">COUNTIF(S1,"Ocak")*(BB11)
+COUNTIF(S1,"Şubat")*(BB12)
+COUNTIF(S1,"Mart")*(BB13)
+COUNTIF(S1,"Nisan")*(BB14)
+COUNTIF(S1,"Mayıs")*(BB15)
+COUNTIF(S1,"Haziran")*(BB16)
+COUNTIF(S1,"Temmuz")*(BB17)
+COUNTIF(S1,"Ağustos")*(BB18)
+COUNTIF(S1,"Eylül")*(BB19)
+COUNTIF(S1,"Ekim")*(BB20)
+COUNTIF(S1,"Kasım")*(BB21)
+COUNTIF(S1,"Aralık")*(BB22)
+COUNTIF(S1,"Yıllık Toplam")*(BB23)
+COUNTIF(S1,"Yıllık Ortalama")*(BB24)</f>
        <v>0</v>
      </c>
      <c r="S3" s="68"/>
      <c r="T3" s="72"/>
      <c r="U3" s="15" t="s">
        <v>24</v>
      </c>
      <c r="V3" s="23" t="s">
        <v>46</v>
      </c>
      <c r="W3" s="74"/>
      <c r="X3" s="75"/>
      <c r="Y3" s="64"/>
      <c r="Z3" s="63"/>
      <c r="AA3" s="4" t="s">
        <v>76</v>
      </c>
      <c r="AB3" s="5">
        <v>235.89</v>
      </c>
      <c r="AC3" s="5">
        <v>235.89</v>
      </c>
      <c r="AD3" s="6">
        <f>(1%)</f>
        <v>0.01</v>
      </c>
      <c r="AE3" s="7" t="s">
        <v>0</v>
      </c>
      <c r="AF3" s="8">
        <f>($AF$7*$AD$3)</f>
        <v>50.04</v>
      </c>
      <c r="AG3" s="8">
        <f>($AG$7*$AD$3)</f>
        <v>64.710000000000008</v>
      </c>
      <c r="AH3" s="8">
        <f ca="1">(AU13+AX13+BA13+BD13+BC13+AW13+BG21+BM21+BP21+BS21+AH7)</f>
        <v>12924.86</v>
      </c>
      <c r="AI3" s="8">
        <f ca="1">(AU13+AX13+BA13+BD13+BC13+AW13+BG21+BM21+BP21+BS21+AH7)</f>
        <v>12924.86</v>
      </c>
      <c r="AJ3" s="8">
        <f ca="1">(AI3*0.00759*-1)</f>
        <v>-98.099687400000008</v>
      </c>
      <c r="AK3" s="8">
        <f>(AS7)</f>
        <v>5004</v>
      </c>
      <c r="AL3" s="8">
        <f>(AK3*0.00759*-1)</f>
        <v>-37.980360000000005</v>
      </c>
      <c r="AM3" s="8">
        <f ca="1">(AI3-AK3)</f>
        <v>7920.8600000000006</v>
      </c>
      <c r="AN3" s="8">
        <f ca="1">(AM3*0.00759*-1)</f>
        <v>-60.11932740000001</v>
      </c>
      <c r="AO3" s="8">
        <f ca="1">(AN3)</f>
        <v>-60.11932740000001</v>
      </c>
      <c r="AP3" s="8">
        <f>(AW3+BJ21+BU21+AI7)</f>
        <v>270.27</v>
      </c>
      <c r="AQ3" s="8">
        <f ca="1">(AI3-AP3)</f>
        <v>12654.59</v>
      </c>
      <c r="AR3" s="8">
        <f ca="1">IF(AQ3&gt;=AR7*7.5,AR7*7.5,AQ3)</f>
        <v>12654.59</v>
      </c>
      <c r="AS3" s="8">
        <f ca="1">(AU3+AV3+AY3+AZ3+BC3)</f>
        <v>977.19694380000033</v>
      </c>
      <c r="AT3" s="8">
        <f>(AW13)</f>
        <v>1318.68</v>
      </c>
      <c r="AU3" s="8">
        <f>(AW13)</f>
        <v>1318.68</v>
      </c>
      <c r="AV3" s="8">
        <f>(AU3*0.00759*-1)</f>
        <v>-10.008781200000001</v>
      </c>
      <c r="AW3" s="8">
        <f>(10.01*G17)</f>
        <v>270.27</v>
      </c>
      <c r="AX3" s="8">
        <f>(AU3-AW3)</f>
        <v>1048.4100000000001</v>
      </c>
      <c r="AY3" s="8">
        <f>(AX3*0.14*-1)</f>
        <v>-146.77740000000003</v>
      </c>
      <c r="AZ3" s="8">
        <f>(AX3*0.01*-1)</f>
        <v>-10.484100000000002</v>
      </c>
      <c r="BA3" s="8">
        <f>(0)</f>
        <v>0</v>
      </c>
      <c r="BB3" s="8">
        <f>(AU3+AY3+AZ3-BA3)</f>
        <v>1161.4185000000002</v>
      </c>
      <c r="BC3" s="8">
        <f ca="1">(BB3*CV4*-1)</f>
        <v>-174.21277500000002</v>
      </c>
      <c r="BD3" s="9">
        <f ca="1">(CA12*L23+BE3)*-1</f>
        <v>0</v>
      </c>
      <c r="BE3" s="9">
        <f t="shared" si="1"/>
        <v>0</v>
      </c>
      <c r="BF3" s="9">
        <f t="shared" ca="1" si="2"/>
        <v>0</v>
      </c>
      <c r="BG3" s="8" t="s">
        <v>0</v>
      </c>
      <c r="BH3" s="8">
        <f>(6471)</f>
        <v>6471</v>
      </c>
      <c r="BI3" s="8">
        <f>(6471)</f>
        <v>6471</v>
      </c>
      <c r="BJ3" s="8">
        <f t="shared" si="3"/>
        <v>0</v>
      </c>
      <c r="BK3" s="8">
        <f t="shared" si="4"/>
        <v>0</v>
      </c>
      <c r="BL3" s="8">
        <f>(0)</f>
        <v>0</v>
      </c>
      <c r="BM3" s="8">
        <f t="shared" si="5"/>
        <v>6471</v>
      </c>
      <c r="BN3" s="8">
        <f t="shared" si="6"/>
        <v>-905.94</v>
      </c>
      <c r="BO3" s="8">
        <f t="shared" si="7"/>
        <v>-64.710000000000008</v>
      </c>
      <c r="BP3" s="10">
        <v>0</v>
      </c>
      <c r="BQ3" s="8">
        <f ca="1">(BR3/CE11/30*BP3)</f>
        <v>0</v>
      </c>
      <c r="BR3" s="8">
        <f>(0/30*BP3)</f>
        <v>0</v>
      </c>
      <c r="BS3" s="8">
        <f>(0)</f>
        <v>0</v>
      </c>
      <c r="BT3" s="8">
        <f>(0)</f>
        <v>0</v>
      </c>
      <c r="BU3" s="8">
        <f>(0)</f>
        <v>0</v>
      </c>
      <c r="BV3" s="10">
        <v>0</v>
      </c>
      <c r="BW3" s="8">
        <f>(AR20*BV3)</f>
        <v>0</v>
      </c>
      <c r="BX3" s="8">
        <f ca="1">(BW3*CE11)</f>
        <v>0</v>
      </c>
      <c r="BY3" s="10">
        <v>30</v>
      </c>
      <c r="BZ3" s="8">
        <f>(1046.47/30*BY3)</f>
        <v>1046.47</v>
      </c>
      <c r="CA3" s="8">
        <f ca="1">(BZ3*CE11)</f>
        <v>641.3919277</v>
      </c>
      <c r="CC3" s="8">
        <f>COUNTIF($A$1,"İskele Baş Personeli-Üniversite")*(223.5/30*H24)
+COUNTIF($A$1,"İskele Baş Personeli-MYO")*(223.5/30*H24)
+COUNTIF($A$1,"İskele Baş Personeli-Lise")*(223.5/30*H24)
+COUNTIF($A$1,"Gişe Memuru-Üniversite")*(223.5/30*H24)
+COUNTIF($A$1,"Gişe Memuru-MYO")*(223.5/30*H24)
+COUNTIF($A$1,"Gişe Memuru-Lise")*(223.5/30*H24)</f>
        <v>0</v>
      </c>
      <c r="CD3" s="8">
        <f ca="1">(CC3*CE11)</f>
        <v>0</v>
      </c>
      <c r="CE3" s="8">
        <f>(CC3)</f>
        <v>0</v>
      </c>
      <c r="CG3" s="8" t="s">
        <v>0</v>
      </c>
      <c r="CH3" s="8">
        <f ca="1">(AI3)</f>
        <v>12924.86</v>
      </c>
      <c r="CI3" s="8">
        <f t="shared" ca="1" si="8"/>
        <v>2649.5963000000002</v>
      </c>
      <c r="CJ3" s="8">
        <f t="shared" ca="1" si="9"/>
        <v>129.24860000000001</v>
      </c>
      <c r="CK3" s="8">
        <f t="shared" ca="1" si="10"/>
        <v>-646.24300000000005</v>
      </c>
      <c r="CL3" s="8">
        <f t="shared" ca="1" si="11"/>
        <v>15057.461900000002</v>
      </c>
      <c r="CM3" s="17" t="s">
        <v>61</v>
      </c>
      <c r="CN3" s="9">
        <v>207.43</v>
      </c>
      <c r="CO3" s="8">
        <f ca="1">(AR2*0.14*-1)</f>
        <v>-955.56580000000008</v>
      </c>
      <c r="CP3" s="8">
        <f ca="1">(AR2*0.01*-1)</f>
        <v>-68.2547</v>
      </c>
      <c r="CQ3" s="8">
        <f>(BA2+BK20+AI6+AM6)</f>
        <v>155.79900000000001</v>
      </c>
      <c r="CR3" s="8">
        <f ca="1">(AI2+CO3+CP3-CQ3)</f>
        <v>5886.0904999999993</v>
      </c>
      <c r="CS3" s="8">
        <f ca="1">SUM($CR$2:CR3)</f>
        <v>12299.6425</v>
      </c>
      <c r="CT3" s="12">
        <f t="shared" ca="1" si="12"/>
        <v>0.15</v>
      </c>
      <c r="CU3" s="18">
        <f t="shared" ref="CU3:CU13" ca="1" si="15">IF(CT3-CT2=0,0,1)</f>
        <v>0</v>
      </c>
      <c r="CV3" s="19">
        <f t="shared" ca="1" si="13"/>
        <v>0.15</v>
      </c>
      <c r="CW3" s="8">
        <f ca="1">(ROUND(CR3*CV3,2)*(-1))</f>
        <v>-882.91</v>
      </c>
      <c r="CX3" s="8">
        <f t="shared" si="14"/>
        <v>638.01</v>
      </c>
      <c r="CY3" s="8">
        <f t="shared" ref="CY3:CY8" ca="1" si="16">(CW3+CX3)</f>
        <v>-244.89999999999998</v>
      </c>
      <c r="CZ3" s="19">
        <f t="shared" ref="CD3:CZ13" si="17">(100+(100*0.00759*-1)+(100*0.14*-1)+(100*0.01*-1))/100</f>
        <v>0.84240999999999999</v>
      </c>
      <c r="DA3" s="19">
        <f t="shared" ref="DA3:DA8" ca="1" si="18">(100+(100*0.00759*-1)+(100*0.14*-1)+(100*0.01*-1)+(100+100*0.14*-1+100*0.01*-1)*CV3*-1)/100</f>
        <v>0.71491000000000005</v>
      </c>
      <c r="DB3" s="19">
        <f t="shared" ref="DB3:DB8" ca="1" si="19">(100+(100*0.00759*-1)+(100)*CV3*-1)/100</f>
        <v>0.84240999999999999</v>
      </c>
      <c r="DC3" s="7">
        <v>1</v>
      </c>
      <c r="DD3" s="20">
        <v>0.5</v>
      </c>
      <c r="DE3" s="21">
        <v>0.03</v>
      </c>
      <c r="DF3" s="22"/>
    </row>
    <row r="4" spans="1:110" ht="39.950000000000003" customHeight="1" x14ac:dyDescent="0.25">
      <c r="A4" s="60"/>
      <c r="B4" s="61"/>
      <c r="C4" s="59"/>
      <c r="D4" s="59"/>
      <c r="E4" s="62"/>
      <c r="F4" s="62"/>
      <c r="G4" s="59"/>
      <c r="H4" s="59"/>
      <c r="I4" s="59"/>
      <c r="J4" s="59"/>
      <c r="K4" s="59"/>
      <c r="L4" s="59"/>
      <c r="M4" s="59"/>
      <c r="N4" s="59"/>
      <c r="O4" s="73"/>
      <c r="P4" s="1" t="s">
        <v>3</v>
      </c>
      <c r="Q4" s="2">
        <f t="shared" ca="1" si="0"/>
        <v>0</v>
      </c>
      <c r="R4" s="2">
        <f ca="1">COUNTIF(S1,"Ocak")*(BE11)
+COUNTIF(S1,"Şubat")*(BE12)
+COUNTIF(S1,"Mart")*(BE13)
+COUNTIF(S1,"Nisan")*(BE14)
+COUNTIF(S1,"Mayıs")*(BE15)
+COUNTIF(S1,"Haziran")*(BE16)
+COUNTIF(S1,"Temmuz")*(BE17)
+COUNTIF(S1,"Ağustos")*(BE18)
+COUNTIF(S1,"Eylül")*(BE19)
+COUNTIF(S1,"Ekim")*(BE20)
+COUNTIF(S1,"Kasım")*(BE21)
+COUNTIF(S1,"Aralık")*(BE22)
+COUNTIF(S1,"Yıllık Toplam")*(BE23)
+COUNTIF(S1,"Yıllık Ortalama")*(BE24)</f>
        <v>0</v>
      </c>
      <c r="S4" s="68"/>
      <c r="T4" s="72"/>
      <c r="U4" s="15" t="s">
        <v>42</v>
      </c>
      <c r="V4" s="2" t="s">
        <v>49</v>
      </c>
      <c r="W4" s="74"/>
      <c r="X4" s="75"/>
      <c r="Y4" s="64"/>
      <c r="Z4" s="63"/>
      <c r="AA4" s="4" t="s">
        <v>77</v>
      </c>
      <c r="AB4" s="5">
        <v>174.94</v>
      </c>
      <c r="AC4" s="5">
        <v>215.7</v>
      </c>
      <c r="AD4" s="7" t="s">
        <v>0</v>
      </c>
      <c r="AE4" s="7" t="s">
        <v>0</v>
      </c>
      <c r="AF4" s="8">
        <f>($AF$12)</f>
        <v>535.16648499999997</v>
      </c>
      <c r="AG4" s="8">
        <f>($AG$12)</f>
        <v>758.27961899999991</v>
      </c>
      <c r="AH4" s="8">
        <f ca="1">(AU14+AX14+BA14+BD14+BC14+AW14+BG22+BM22+BP22+BS22+AH8)</f>
        <v>7509.6100000000006</v>
      </c>
      <c r="AI4" s="8">
        <f ca="1">(AU14+AX14+BA14+BD14+BC14+AW14+BG22+BM22+BP22+BS22+AH8)</f>
        <v>7509.6100000000006</v>
      </c>
      <c r="AJ4" s="8">
        <f ca="1">(AI4*0.00759*-1)</f>
        <v>-56.997939900000006</v>
      </c>
      <c r="AK4" s="8">
        <f>(AS8)</f>
        <v>5004</v>
      </c>
      <c r="AL4" s="8">
        <f>(AK4*0.00759*-1)</f>
        <v>-37.980360000000005</v>
      </c>
      <c r="AM4" s="8">
        <f ca="1">(AI4-AK4)</f>
        <v>2505.6100000000006</v>
      </c>
      <c r="AN4" s="8">
        <f ca="1">(AM4*0.00759*-1)</f>
        <v>-19.017579900000005</v>
      </c>
      <c r="AO4" s="8">
        <f ca="1">(AN4)</f>
        <v>-19.017579900000005</v>
      </c>
      <c r="AP4" s="8">
        <f>(AW4+BJ22+BU22+AI8)</f>
        <v>260.26</v>
      </c>
      <c r="AQ4" s="8">
        <f ca="1">(AI4-AP4)</f>
        <v>7249.35</v>
      </c>
      <c r="AR4" s="8">
        <f ca="1">IF(AQ4&gt;=AR8*7.5,AR8*7.5,AQ4)</f>
        <v>7249.35</v>
      </c>
      <c r="AS4" s="8">
        <f ca="1">(AU4+AV4+AY4+AZ4+BC4)</f>
        <v>941.00446439999996</v>
      </c>
      <c r="AT4" s="8">
        <f>(AW14)</f>
        <v>1269.8400000000001</v>
      </c>
      <c r="AU4" s="8">
        <f>(AW14)</f>
        <v>1269.8400000000001</v>
      </c>
      <c r="AV4" s="8">
        <f>(AU4*0.00759*-1)</f>
        <v>-9.6380856000000019</v>
      </c>
      <c r="AW4" s="8">
        <f>(10.01*G18)</f>
        <v>260.26</v>
      </c>
      <c r="AX4" s="8">
        <f>(AU4-AW4)</f>
        <v>1009.5800000000002</v>
      </c>
      <c r="AY4" s="8">
        <f>(AX4*0.14*-1)</f>
        <v>-141.34120000000004</v>
      </c>
      <c r="AZ4" s="8">
        <f>(AX4*0.01*-1)</f>
        <v>-10.095800000000002</v>
      </c>
      <c r="BA4" s="8">
        <f>(0)</f>
        <v>0</v>
      </c>
      <c r="BB4" s="8">
        <f>(AU4+AY4+AZ4-BA4)</f>
        <v>1118.403</v>
      </c>
      <c r="BC4" s="8">
        <f ca="1">(BB4*CV5*-1)</f>
        <v>-167.76044999999999</v>
      </c>
      <c r="BD4" s="9">
        <f ca="1">(CA13*L24+BE4)*-1</f>
        <v>0</v>
      </c>
      <c r="BE4" s="9">
        <f t="shared" si="1"/>
        <v>0</v>
      </c>
      <c r="BF4" s="9">
        <f t="shared" ca="1" si="2"/>
        <v>0</v>
      </c>
      <c r="BG4" s="8" t="s">
        <v>0</v>
      </c>
      <c r="BH4" s="8">
        <f>(6471)</f>
        <v>6471</v>
      </c>
      <c r="BI4" s="8">
        <f>(6471)</f>
        <v>6471</v>
      </c>
      <c r="BJ4" s="8">
        <f t="shared" si="3"/>
        <v>0</v>
      </c>
      <c r="BK4" s="8">
        <f t="shared" si="4"/>
        <v>0</v>
      </c>
      <c r="BL4" s="8">
        <f>(0)</f>
        <v>0</v>
      </c>
      <c r="BM4" s="8">
        <f t="shared" si="5"/>
        <v>6471</v>
      </c>
      <c r="BN4" s="8">
        <f t="shared" si="6"/>
        <v>-905.94</v>
      </c>
      <c r="BO4" s="8">
        <f t="shared" si="7"/>
        <v>-64.710000000000008</v>
      </c>
      <c r="BP4" s="10">
        <v>0</v>
      </c>
      <c r="BQ4" s="8">
        <f ca="1">(BR4/CE12/30*BP4)</f>
        <v>0</v>
      </c>
      <c r="BR4" s="8">
        <f>(0/30*BP4)</f>
        <v>0</v>
      </c>
      <c r="BS4" s="8">
        <f>(0)</f>
        <v>0</v>
      </c>
      <c r="BT4" s="8">
        <f>(0)</f>
        <v>0</v>
      </c>
      <c r="BU4" s="8">
        <f>(0)</f>
        <v>0</v>
      </c>
      <c r="BV4" s="10">
        <v>0</v>
      </c>
      <c r="BW4" s="8">
        <f>(AR21*BV4)</f>
        <v>0</v>
      </c>
      <c r="BX4" s="8">
        <f ca="1">(BW4*CE12)</f>
        <v>0</v>
      </c>
      <c r="BY4" s="10">
        <v>30</v>
      </c>
      <c r="BZ4" s="8">
        <f>(1046.47/30*BY4)</f>
        <v>1046.47</v>
      </c>
      <c r="CA4" s="8">
        <f ca="1">(BZ4*CE12)</f>
        <v>641.3919277</v>
      </c>
      <c r="CC4" s="8">
        <f>COUNTIF($A$1,"İskele Baş Personeli-Üniversite")*(223.5/30*H25)
+COUNTIF($A$1,"İskele Baş Personeli-MYO")*(223.5/30*H25)
+COUNTIF($A$1,"İskele Baş Personeli-Lise")*(223.5/30*H25)
+COUNTIF($A$1,"Gişe Memuru-Üniversite")*(223.5/30*H25)
+COUNTIF($A$1,"Gişe Memuru-MYO")*(223.5/30*H25)
+COUNTIF($A$1,"Gişe Memuru-Lise")*(223.5/30*H25)</f>
        <v>0</v>
      </c>
      <c r="CD4" s="8">
        <f ca="1">(CC4*CE12)</f>
        <v>0</v>
      </c>
      <c r="CE4" s="8">
        <f>(CC4)</f>
        <v>0</v>
      </c>
      <c r="CG4" s="8" t="s">
        <v>0</v>
      </c>
      <c r="CH4" s="8">
        <f ca="1">(AI4)</f>
        <v>7509.6100000000006</v>
      </c>
      <c r="CI4" s="8">
        <f t="shared" ca="1" si="8"/>
        <v>1539.4700500000001</v>
      </c>
      <c r="CJ4" s="8">
        <f t="shared" ca="1" si="9"/>
        <v>75.096100000000007</v>
      </c>
      <c r="CK4" s="8">
        <f t="shared" ca="1" si="10"/>
        <v>-375.48050000000006</v>
      </c>
      <c r="CL4" s="8">
        <f t="shared" ca="1" si="11"/>
        <v>8748.6956500000015</v>
      </c>
      <c r="CM4" s="17" t="s">
        <v>62</v>
      </c>
      <c r="CN4" s="9">
        <v>1034.8399999999999</v>
      </c>
      <c r="CO4" s="8">
        <f ca="1">(AR3*0.14*-1)</f>
        <v>-1771.6426000000001</v>
      </c>
      <c r="CP4" s="8">
        <f ca="1">(AR3*0.01*-1)</f>
        <v>-126.5459</v>
      </c>
      <c r="CQ4" s="8">
        <f>(BA3+BK21+AI7+AM7)</f>
        <v>155.79900000000001</v>
      </c>
      <c r="CR4" s="8">
        <f ca="1">(AI3+CO4+CP4-CQ4)</f>
        <v>10870.872500000001</v>
      </c>
      <c r="CS4" s="8">
        <f ca="1">SUM($CR$2:CR4)</f>
        <v>23170.514999999999</v>
      </c>
      <c r="CT4" s="12">
        <f t="shared" ca="1" si="12"/>
        <v>0.15</v>
      </c>
      <c r="CU4" s="18">
        <f t="shared" ca="1" si="15"/>
        <v>0</v>
      </c>
      <c r="CV4" s="19">
        <f t="shared" ca="1" si="13"/>
        <v>0.15</v>
      </c>
      <c r="CW4" s="8">
        <f t="shared" ref="CW4:CW13" ca="1" si="20">(ROUND(CR4*CV4,2)*(-1))</f>
        <v>-1630.63</v>
      </c>
      <c r="CX4" s="8">
        <f t="shared" si="14"/>
        <v>638.01</v>
      </c>
      <c r="CY4" s="8">
        <f t="shared" ca="1" si="16"/>
        <v>-992.62000000000012</v>
      </c>
      <c r="CZ4" s="19">
        <f t="shared" si="17"/>
        <v>0.84240999999999999</v>
      </c>
      <c r="DA4" s="19">
        <f t="shared" ca="1" si="18"/>
        <v>0.71491000000000005</v>
      </c>
      <c r="DB4" s="19">
        <f t="shared" ca="1" si="19"/>
        <v>0.84240999999999999</v>
      </c>
      <c r="DC4" s="7">
        <v>2</v>
      </c>
      <c r="DD4" s="20">
        <v>1</v>
      </c>
      <c r="DE4" s="21">
        <v>0.04</v>
      </c>
      <c r="DF4" s="22"/>
    </row>
    <row r="5" spans="1:110" ht="39.950000000000003" customHeight="1" x14ac:dyDescent="0.25">
      <c r="A5" s="60"/>
      <c r="B5" s="61"/>
      <c r="C5" s="59"/>
      <c r="D5" s="59"/>
      <c r="E5" s="62"/>
      <c r="F5" s="62"/>
      <c r="G5" s="59"/>
      <c r="H5" s="59"/>
      <c r="I5" s="59"/>
      <c r="J5" s="59"/>
      <c r="K5" s="59"/>
      <c r="L5" s="59"/>
      <c r="M5" s="59"/>
      <c r="N5" s="59"/>
      <c r="O5" s="73"/>
      <c r="P5" s="1" t="s">
        <v>6</v>
      </c>
      <c r="Q5" s="2">
        <f t="shared" ref="Q5:Q18" ca="1" si="21">IF(R5&gt;0,R5,R5*-1)</f>
        <v>10686.932892495264</v>
      </c>
      <c r="R5" s="2">
        <f ca="1">COUNTIF(S1,"Ocak")*(AS1)
+COUNTIF(S1,"Şubat")*(AS2)
+COUNTIF(S1,"Mart")*(AS3)
+COUNTIF(S1,"Nisan")*(AS4)
+COUNTIF(S1,"Mayıs")*(BF9)
+COUNTIF(S1,"Haziran")*(BF10)
+COUNTIF(S1,"Temmuz")*(BF11)
+COUNTIF(S1,"Ağustos")*(BF12)
+COUNTIF(S1,"Eylül")*(BF13)
+COUNTIF(S1,"Ekim")*(BF14)
+COUNTIF(S1,"Kasım")*(BF15)
+COUNTIF(S1,"Aralık")*(BF16)
+COUNTIF(S1,"Yıllık Toplam")*(BF17)
+COUNTIF(S1,"Yıllık Ortalama")*(BF18)</f>
        <v>10686.932892495264</v>
      </c>
      <c r="S5" s="68"/>
      <c r="T5" s="72"/>
      <c r="U5" s="15" t="s">
        <v>28</v>
      </c>
      <c r="V5" s="23" t="s">
        <v>47</v>
      </c>
      <c r="W5" s="74"/>
      <c r="X5" s="75"/>
      <c r="Y5" s="64"/>
      <c r="Z5" s="63"/>
      <c r="AA5" s="4" t="s">
        <v>78</v>
      </c>
      <c r="AB5" s="5">
        <v>173.11</v>
      </c>
      <c r="AC5" s="5">
        <v>215.7</v>
      </c>
      <c r="AD5" s="7" t="s">
        <v>0</v>
      </c>
      <c r="AE5" s="7" t="s">
        <v>0</v>
      </c>
      <c r="AF5" s="8">
        <f>($AF$13)</f>
        <v>117.7225</v>
      </c>
      <c r="AG5" s="8">
        <f>($AG$13)</f>
        <v>166.8015</v>
      </c>
      <c r="AH5" s="9">
        <f t="shared" ref="AH5:AH12" si="22">COUNTIF(I15,"Yok")*(0)
+COUNTIF(I15,"Cenaze Yardımı (Anne-Baba)")*($CN$2)
+COUNTIF(I15,"Cenaze Yardımı (Eş-Çocuk)")*($CN$3)
+COUNTIF(I15,"Cenaze Yardımı (İşçi-Tabii Sebepler Sonucu)")*($CN$4)
+COUNTIF(I15,"Eğitim Yardımı (Çocuk-İlköğretim)")*($CN$5)
+COUNTIF(I15,"Eğitim Yardımı (Çocuk-Ortaöğretim)")*($CN$6)
+COUNTIF(I15,"Eğitim Yardımı (Çocuk-Lise)")*($CN$7)
+COUNTIF(I15,"Eğitim Yardımı (Çocuk-Yükseköğretim)")*($CN$8)
+COUNTIF(I15,"Evlilik Yardımı")*($CN$9)
+COUNTIF(I15,"İş Kazası veya Meslek Hastalığı Tazminatı")*($CN$10)
+COUNTIF(J15,"Yok")*(0)
+COUNTIF(J15,"Cenaze Yardımı (Anne-Baba)")*($CN$2)
+COUNTIF(J15,"Cenaze Yardımı (Eş-Çocuk)")*($CN$3)
+COUNTIF(J15,"Cenaze Yardımı (İşçi-Tabii Sebepler Sonucu)")*($CN$4)
+COUNTIF(J15,"Eğitim Yardımı (Çocuk-İlköğretim)")*($CN$5)
+COUNTIF(J15,"Eğitim Yardımı (Çocuk-Ortaöğretim)")*($CN$6)
+COUNTIF(J15,"Eğitim Yardımı (Çocuk-Lise)")*($CN$7)
+COUNTIF(J15,"Eğitim Yardımı (Çocuk-Yükseköğretim)")*($CN$8)
+COUNTIF(J15,"Evlilik Yardımı")*($CN$9)
+COUNTIF(J15,"İş Kazası veya Meslek Hastalığı Tazminatı")*($CN$10)
+COUNTIF(K15,"Yok")*(0)
+COUNTIF(K15,"Cenaze Yardımı (Anne-Baba)")*($CN$2)
+COUNTIF(K15,"Cenaze Yardımı (Eş-Çocuk)")*($CN$3)
+COUNTIF(K15,"Cenaze Yardımı (İşçi-Tabii Sebepler Sonucu)")*($CN$4)
+COUNTIF(K15,"Eğitim Yardımı (Çocuk-İlköğretim)")*($CN$5)
+COUNTIF(K15,"Eğitim Yardımı (Çocuk-Ortaöğretim)")*($CN$6)
+COUNTIF(K15,"Eğitim Yardımı (Çocuk-Lise)")*($CN$7)
+COUNTIF(K15,"Eğitim Yardımı (Çocuk-Yükseköğretim)")*($CN$8)
+COUNTIF(K15,"Evlilik Yardımı")*($CN$9)
+COUNTIF(K15,"İş Kazası veya Meslek Hastalığı Tazminatı")*($CN$10)</f>
        <v>0</v>
      </c>
      <c r="AI5" s="9">
        <f t="shared" ref="AI5:AI12" si="23">COUNTIF(I15,"Yok")*(0)
+COUNTIF(I15,"Cenaze Yardımı (Anne-Baba)")*($CN$2)
+COUNTIF(I15,"Cenaze Yardımı (Eş-Çocuk)")*($CN$3)
+COUNTIF(I15,"Cenaze Yardımı (İşçi-Tabii Sebepler Sonucu)")*($CN$4)
+COUNTIF(I15,"Eğitim Yardımı (Çocuk-İlköğretim)")*($CN$5)
+COUNTIF(I15,"Eğitim Yardımı (Çocuk-Ortaöğretim)")*($CN$6)
+COUNTIF(I15,"Eğitim Yardımı (Çocuk-Lise)")*($CN$7)
+COUNTIF(I15,"Eğitim Yardımı (Çocuk-Yükseköğretim)")*($CN$8)
+COUNTIF(I15,"Evlilik Yardımı")*($CN$9)
+COUNTIF(I15,"İş Kazası veya Meslek Hastalığı Tazminatı")*($CN$10)
+COUNTIF(J15,"Yok")*(0)
+COUNTIF(J15,"Cenaze Yardımı (Anne-Baba)")*($CN$2)
+COUNTIF(J15,"Cenaze Yardımı (Eş-Çocuk)")*($CN$3)
+COUNTIF(J15,"Cenaze Yardımı (İşçi-Tabii Sebepler Sonucu)")*($CN$4)
+COUNTIF(J15,"Eğitim Yardımı (Çocuk-İlköğretim)")*($CN$5)
+COUNTIF(J15,"Eğitim Yardımı (Çocuk-Ortaöğretim)")*($CN$6)
+COUNTIF(J15,"Eğitim Yardımı (Çocuk-Lise)")*($CN$7)
+COUNTIF(J15,"Eğitim Yardımı (Çocuk-Yükseköğretim)")*($CN$8)
+COUNTIF(J15,"Evlilik Yardımı")*($CN$9)
+COUNTIF(J15,"İş Kazası veya Meslek Hastalığı Tazminatı")*($CN$10)
+COUNTIF(K15,"Yok")*(0)
+COUNTIF(K15,"Cenaze Yardımı (Anne-Baba)")*($CN$2)
+COUNTIF(K15,"Cenaze Yardımı (Eş-Çocuk)")*($CN$3)
+COUNTIF(K15,"Cenaze Yardımı (İşçi-Tabii Sebepler Sonucu)")*($CN$4)
+COUNTIF(K15,"Eğitim Yardımı (Çocuk-İlköğretim)")*($CN$5)
+COUNTIF(K15,"Eğitim Yardımı (Çocuk-Ortaöğretim)")*($CN$6)
+COUNTIF(K15,"Eğitim Yardımı (Çocuk-Lise)")*($CN$7)
+COUNTIF(K15,"Eğitim Yardımı (Çocuk-Yükseköğretim)")*($CN$8)
+COUNTIF(K15,"Evlilik Yardımı")*($CN$9)
+COUNTIF(K15,"İş Kazası veya Meslek Hastalığı Tazminatı")*($CN$10)</f>
        <v>0</v>
      </c>
      <c r="AJ5" s="9">
        <f t="shared" ref="AJ5:AJ11" ca="1" si="24">COUNTIF(I15,"Yok")*(0)
+COUNTIF(I15,"Cenaze Yardımı (Anne-Baba)")*($CN$2-$CN$2*0.00759)
+COUNTIF(I15,"Cenaze Yardımı (Eş-Çocuk)")*($CN$3-$CN$3*0.00759)
+COUNTIF(I15,"Cenaze Yardımı (İşçi-Tabii Sebepler Sonucu)")*($CN$4-$CN$4*0.00759)
+COUNTIF(I15,"Eğitim Yardımı (Çocuk-İlköğretim)")*($CN$5*DA2)
+COUNTIF(I15,"Eğitim Yardımı (Çocuk-Ortaöğretim)")*($CN$6*DA2)
+COUNTIF(I15,"Eğitim Yardımı (Çocuk-Lise)")*($CN$7*DA2)
+COUNTIF(I15,"Eğitim Yardımı (Çocuk-Yükseköğretim)")*($CN$8*DA2)
+COUNTIF(I15,"Evlilik Yardımı")*($CN$9-$CN$9*0.00759)
+COUNTIF(I15,"İş Kazası veya Meslek Hastalığı Tazminatı")*($CN$10-$CN$10*0.00759)
+COUNTIF(J15,"Yok")*(0)
+COUNTIF(J15,"Cenaze Yardımı (Anne-Baba)")*($CN$2-$CN$2*0.00759)
+COUNTIF(J15,"Cenaze Yardımı (Eş-Çocuk)")*($CN$3-$CN$3*0.00759)
+COUNTIF(J15,"Cenaze Yardımı (İşçi-Tabii Sebepler Sonucu)")*($CN$4-$CN$4*0.00759)
+COUNTIF(J15,"Eğitim Yardımı (Çocuk-İlköğretim)")*($CN$5*DA2)
+COUNTIF(J15,"Eğitim Yardımı (Çocuk-Ortaöğretim)")*($CN$6*DA2)
+COUNTIF(J15,"Eğitim Yardımı (Çocuk-Lise)")*($CN$7*DA2)
+COUNTIF(J15,"Eğitim Yardımı (Çocuk-Yükseköğretim)")*($CN$8*DA2)
+COUNTIF(J15,"Evlilik Yardımı")*($CN$9-$CN$9*0.00759)
+COUNTIF(J15,"İş Kazası veya Meslek Hastalığı Tazminatı")*($CN$10-$CN$10*0.00759)
+COUNTIF(K15,"Yok")*(0)
+COUNTIF(K15,"Cenaze Yardımı (Anne-Baba)")*($CN$2-$CN$2*0.00759)
+COUNTIF(K15,"Cenaze Yardımı (Eş-Çocuk)")*($CN$3-$CN$3*0.00759)
+COUNTIF(K15,"Cenaze Yardımı (İşçi-Tabii Sebepler Sonucu)")*($CN$4-$CN$4*0.00759)
+COUNTIF(K15,"Eğitim Yardımı (Çocuk-İlköğretim)")*($CN$5*DA2)
+COUNTIF(K15,"Eğitim Yardımı (Çocuk-Ortaöğretim)")*($CN$6*DA2)
+COUNTIF(K15,"Eğitim Yardımı (Çocuk-Lise)")*($CN$7*DA2)
+COUNTIF(K15,"Eğitim Yardımı (Çocuk-Yükseköğretim)")*($CN$8*DA2)
+COUNTIF(K15,"Evlilik Yardımı")*($CN$9-$CN$9*0.00759)
+COUNTIF(K15,"İş Kazası veya Meslek Hastalığı Tazminatı")*($CN$10-$CN$10*0.00759)</f>
        <v>0</v>
      </c>
      <c r="AK5" s="18" t="s">
        <v>9</v>
      </c>
      <c r="AL5" s="8">
        <f t="shared" ref="AL5:AL12" si="25">COUNTIF(AK5,"Var")*(AN11*0.9*-1)</f>
        <v>-155.79900000000001</v>
      </c>
      <c r="AM5" s="8">
        <f t="shared" ref="AM5:AM12" si="26">(AL5*-1)</f>
        <v>155.79900000000001</v>
      </c>
      <c r="AN5" s="9">
        <f ca="1">(AR1*L15+AO5)*-1</f>
        <v>0</v>
      </c>
      <c r="AO5" s="9">
        <f>(BA11+BD11+BC11+AW11-AW1)*(L15*-1)</f>
        <v>0</v>
      </c>
      <c r="AP5" s="9">
        <f t="shared" ref="AP5:AP10" ca="1" si="27">(AN5+AO5)</f>
        <v>0</v>
      </c>
      <c r="AQ5" s="8" t="s">
        <v>0</v>
      </c>
      <c r="AR5" s="8">
        <f>(5004)</f>
        <v>5004</v>
      </c>
      <c r="AS5" s="8">
        <f>(5004)</f>
        <v>5004</v>
      </c>
      <c r="AT5" s="8">
        <f t="shared" ref="AT5:AT10" si="28">(AR5-AS5)</f>
        <v>0</v>
      </c>
      <c r="AU5" s="8">
        <f t="shared" ref="AU5:AU10" si="29">(AT5*0.00759*-1)</f>
        <v>0</v>
      </c>
      <c r="AV5" s="8">
        <f>(0)</f>
        <v>0</v>
      </c>
      <c r="AW5" s="8">
        <f t="shared" ref="AW5:AW10" si="30">(AR5-AV5)</f>
        <v>5004</v>
      </c>
      <c r="AX5" s="9">
        <f>COUNTIF(I23,"Yok")*(0)
+COUNTIF(I23,"Cenaze Yardımı (Anne-Baba)")*($CN$2)
+COUNTIF(I23,"Cenaze Yardımı (Eş-Çocuk)")*($CN$3)
+COUNTIF(I23,"Cenaze Yardımı (İşçi-Tabii Sebepler Sonucu)")*($CN$4)
+COUNTIF(I23,"Eğitim Yardımı (Çocuk-İlköğretim)")*($CN$5)
+COUNTIF(I23,"Eğitim Yardımı (Çocuk-Ortaöğretim)")*($CN$6)
+COUNTIF(I23,"Eğitim Yardımı (Çocuk-Lise)")*($CN$7)
+COUNTIF(I23,"Eğitim Yardımı (Çocuk-Yükseköğretim)")*($CN$8)
+COUNTIF(I23,"Evlilik Yardımı")*($CN$9)
+COUNTIF(I23,"İş Kazası veya Meslek Hastalığı Tazminatı")*($CN$10)
+COUNTIF(J23,"Yok")*(0)
+COUNTIF(J23,"Cenaze Yardımı (Anne-Baba)")*($CN$2)
+COUNTIF(J23,"Cenaze Yardımı (Eş-Çocuk)")*($CN$3)
+COUNTIF(J23,"Cenaze Yardımı (İşçi-Tabii Sebepler Sonucu)")*($CN$4)
+COUNTIF(J23,"Eğitim Yardımı (Çocuk-İlköğretim)")*($CN$5)
+COUNTIF(J23,"Eğitim Yardımı (Çocuk-Ortaöğretim)")*($CN$6)
+COUNTIF(J23,"Eğitim Yardımı (Çocuk-Lise)")*($CN$7)
+COUNTIF(J23,"Eğitim Yardımı (Çocuk-Yükseköğretim)")*($CN$8)
+COUNTIF(J23,"Evlilik Yardımı")*($CN$9)
+COUNTIF(J23,"İş Kazası veya Meslek Hastalığı Tazminatı")*($CN$10)
+COUNTIF(K23,"Yok")*(0)
+COUNTIF(K23,"Cenaze Yardımı (Anne-Baba)")*($CN$2)
+COUNTIF(K23,"Cenaze Yardımı (Eş-Çocuk)")*($CN$3)
+COUNTIF(K23,"Cenaze Yardımı (İşçi-Tabii Sebepler Sonucu)")*($CN$4)
+COUNTIF(K23,"Eğitim Yardımı (Çocuk-İlköğretim)")*($CN$5)
+COUNTIF(K23,"Eğitim Yardımı (Çocuk-Ortaöğretim)")*($CN$6)
+COUNTIF(K23,"Eğitim Yardımı (Çocuk-Lise)")*($CN$7)
+COUNTIF(K23,"Eğitim Yardımı (Çocuk-Yükseköğretim)")*($CN$8)
+COUNTIF(K23,"Evlilik Yardımı")*($CN$9)
+COUNTIF(K23,"İş Kazası veya Meslek Hastalığı Tazminatı")*($CN$10)</f>
        <v>0</v>
      </c>
      <c r="AY5" s="9">
        <f>COUNTIF(I23,"Yok")*(0)
+COUNTIF(I23,"Cenaze Yardımı (Anne-Baba)")*($CN$2)
+COUNTIF(I23,"Cenaze Yardımı (Eş-Çocuk)")*($CN$3)
+COUNTIF(I23,"Cenaze Yardımı (İşçi-Tabii Sebepler Sonucu)")*($CN$4)
+COUNTIF(I23,"Eğitim Yardımı (Çocuk-İlköğretim)")*($CN$5)
+COUNTIF(I23,"Eğitim Yardımı (Çocuk-Ortaöğretim)")*($CN$6)
+COUNTIF(I23,"Eğitim Yardımı (Çocuk-Lise)")*($CN$7)
+COUNTIF(I23,"Eğitim Yardımı (Çocuk-Yükseköğretim)")*($CN$8)
+COUNTIF(I23,"Evlilik Yardımı")*($CN$9)
+COUNTIF(I23,"İş Kazası veya Meslek Hastalığı Tazminatı")*($CN$10)
+COUNTIF(J23,"Yok")*(0)
+COUNTIF(J23,"Cenaze Yardımı (Anne-Baba)")*($CN$2)
+COUNTIF(J23,"Cenaze Yardımı (Eş-Çocuk)")*($CN$3)
+COUNTIF(J23,"Cenaze Yardımı (İşçi-Tabii Sebepler Sonucu)")*($CN$4)
+COUNTIF(J23,"Eğitim Yardımı (Çocuk-İlköğretim)")*($CN$5)
+COUNTIF(J23,"Eğitim Yardımı (Çocuk-Ortaöğretim)")*($CN$6)
+COUNTIF(J23,"Eğitim Yardımı (Çocuk-Lise)")*($CN$7)
+COUNTIF(J23,"Eğitim Yardımı (Çocuk-Yükseköğretim)")*($CN$8)
+COUNTIF(J23,"Evlilik Yardımı")*($CN$9)
+COUNTIF(J23,"İş Kazası veya Meslek Hastalığı Tazminatı")*($CN$10)
+COUNTIF(K23,"Yok")*(0)
+COUNTIF(K23,"Cenaze Yardımı (Anne-Baba)")*($CN$2)
+COUNTIF(K23,"Cenaze Yardımı (Eş-Çocuk)")*($CN$3)
+COUNTIF(K23,"Cenaze Yardımı (İşçi-Tabii Sebepler Sonucu)")*($CN$4)
+COUNTIF(K23,"Eğitim Yardımı (Çocuk-İlköğretim)")*($CN$5)
+COUNTIF(K23,"Eğitim Yardımı (Çocuk-Ortaöğretim)")*($CN$6)
+COUNTIF(K23,"Eğitim Yardımı (Çocuk-Lise)")*($CN$7)
+COUNTIF(K23,"Eğitim Yardımı (Çocuk-Yükseköğretim)")*($CN$8)
+COUNTIF(K23,"Evlilik Yardımı")*($CN$9)
+COUNTIF(K23,"İş Kazası veya Meslek Hastalığı Tazminatı")*($CN$10)</f>
        <v>0</v>
      </c>
      <c r="AZ5" s="9">
        <f ca="1">COUNTIF(I23,"Yok")*(0)
+COUNTIF(I23,"Cenaze Yardımı (Anne-Baba)")*($CN$2-$CN$2*0.00759)
+COUNTIF(I23,"Cenaze Yardımı (Eş-Çocuk)")*($CN$3-$CN$3*0.00759)
+COUNTIF(I23,"Cenaze Yardımı (İşçi-Tabii Sebepler Sonucu)")*($CN$4-$CN$4*0.00759)
+COUNTIF(I23,"Eğitim Yardımı (Çocuk-İlköğretim)")*($CN$5*CE10)
+COUNTIF(I23,"Eğitim Yardımı (Çocuk-Ortaöğretim)")*($CN$6*CE10)
+COUNTIF(I23,"Eğitim Yardımı (Çocuk-Lise)")*($CN$7*CE10)
+COUNTIF(I23,"Eğitim Yardımı (Çocuk-Yükseköğretim)")*($CN$8*CE10)
+COUNTIF(I23,"Evlilik Yardımı")*($CN$9-$CN$9*0.00759)
+COUNTIF(I23,"İş Kazası veya Meslek Hastalığı Tazminatı")*($CN$10-$CN$10*0.00759)
+COUNTIF(J23,"Yok")*(0)
+COUNTIF(J23,"Cenaze Yardımı (Anne-Baba)")*($CN$2-$CN$2*0.00759)
+COUNTIF(J23,"Cenaze Yardımı (Eş-Çocuk)")*($CN$3-$CN$3*0.00759)
+COUNTIF(J23,"Cenaze Yardımı (İşçi-Tabii Sebepler Sonucu)")*($CN$4-$CN$4*0.00759)
+COUNTIF(J23,"Eğitim Yardımı (Çocuk-İlköğretim)")*($CN$5*CE10)
+COUNTIF(J23,"Eğitim Yardımı (Çocuk-Ortaöğretim)")*($CN$6*CE10)
+COUNTIF(J23,"Eğitim Yardımı (Çocuk-Lise)")*($CN$7*CE10)
+COUNTIF(J23,"Eğitim Yardımı (Çocuk-Yükseköğretim)")*($CN$8*CE10)
+COUNTIF(J23,"Evlilik Yardımı")*($CN$9-$CN$9*0.00759)
+COUNTIF(J23,"İş Kazası veya Meslek Hastalığı Tazminatı")*($CN$10-$CN$10*0.00759)
+COUNTIF(K23,"Yok")*(0)
+COUNTIF(K23,"Cenaze Yardımı (Anne-Baba)")*($CN$2-$CN$2*0.00759)
+COUNTIF(K23,"Cenaze Yardımı (Eş-Çocuk)")*($CN$3-$CN$3*0.00759)
+COUNTIF(K23,"Cenaze Yardımı (İşçi-Tabii Sebepler Sonucu)")*($CN$4-$CN$4*0.00759)
+COUNTIF(K23,"Eğitim Yardımı (Çocuk-İlköğretim)")*($CN$5*CE10)
+COUNTIF(K23,"Eğitim Yardımı (Çocuk-Ortaöğretim)")*($CN$6*CE10)
+COUNTIF(K23,"Eğitim Yardımı (Çocuk-Lise)")*($CN$7*CE10)
+COUNTIF(K23,"Eğitim Yardımı (Çocuk-Yükseköğretim)")*($CN$8*CE10)
+COUNTIF(K23,"Evlilik Yardımı")*($CN$9-$CN$9*0.00759)
+COUNTIF(K23,"İş Kazası veya Meslek Hastalığı Tazminatı")*($CN$10-$CN$10*0.00759)</f>
        <v>0</v>
      </c>
      <c r="BA5" s="18" t="s">
        <v>9</v>
      </c>
      <c r="BB5" s="8">
        <f>COUNTIF(BA5,"Var")*(AN19*0.9*-1)</f>
        <v>-194.13</v>
      </c>
      <c r="BC5" s="8">
        <f>(BB5*-1)</f>
        <v>194.13</v>
      </c>
      <c r="BD5" s="9">
        <f ca="1">(CA14*L25+BE5)*-1</f>
        <v>0</v>
      </c>
      <c r="BE5" s="9">
        <f t="shared" si="1"/>
        <v>0</v>
      </c>
      <c r="BF5" s="9">
        <f t="shared" ca="1" si="2"/>
        <v>0</v>
      </c>
      <c r="BG5" s="8" t="s">
        <v>0</v>
      </c>
      <c r="BH5" s="8">
        <f>(6471)</f>
        <v>6471</v>
      </c>
      <c r="BI5" s="8">
        <f>(6471)</f>
        <v>6471</v>
      </c>
      <c r="BJ5" s="8">
        <f t="shared" si="3"/>
        <v>0</v>
      </c>
      <c r="BK5" s="8">
        <f t="shared" si="4"/>
        <v>0</v>
      </c>
      <c r="BL5" s="8">
        <f>(0)</f>
        <v>0</v>
      </c>
      <c r="BM5" s="8">
        <f t="shared" si="5"/>
        <v>6471</v>
      </c>
      <c r="BN5" s="8">
        <f t="shared" si="6"/>
        <v>-905.94</v>
      </c>
      <c r="BO5" s="8">
        <f t="shared" si="7"/>
        <v>-64.710000000000008</v>
      </c>
      <c r="BP5" s="10">
        <v>0</v>
      </c>
      <c r="BQ5" s="8">
        <f ca="1">(BR5/CE13/30*BP5)</f>
        <v>0</v>
      </c>
      <c r="BR5" s="8">
        <f>(0/30*BP5)</f>
        <v>0</v>
      </c>
      <c r="BS5" s="8">
        <f>(0)</f>
        <v>0</v>
      </c>
      <c r="BT5" s="8">
        <f>(0)</f>
        <v>0</v>
      </c>
      <c r="BU5" s="8">
        <f>(0)</f>
        <v>0</v>
      </c>
      <c r="BV5" s="10">
        <v>30</v>
      </c>
      <c r="BW5" s="8">
        <f>(AR22*BV5)</f>
        <v>6471</v>
      </c>
      <c r="BX5" s="8">
        <f ca="1">(BW5*CE13)</f>
        <v>3966.1406099999999</v>
      </c>
      <c r="BY5" s="10">
        <v>30</v>
      </c>
      <c r="BZ5" s="8">
        <f>(1046.47/30*BY5)</f>
        <v>1046.47</v>
      </c>
      <c r="CA5" s="8">
        <f ca="1">(BZ5*CE13)</f>
        <v>641.3919277</v>
      </c>
      <c r="CC5" s="8">
        <f>COUNTIF($A$1,"İskele Baş Personeli-Üniversite")*(223.5/30*H26)
+COUNTIF($A$1,"İskele Baş Personeli-MYO")*(223.5/30*H26)
+COUNTIF($A$1,"İskele Baş Personeli-Lise")*(223.5/30*H26)
+COUNTIF($A$1,"Gişe Memuru-Üniversite")*(223.5/30*H26)
+COUNTIF($A$1,"Gişe Memuru-MYO")*(223.5/30*H26)
+COUNTIF($A$1,"Gişe Memuru-Lise")*(223.5/30*H26)</f>
        <v>0</v>
      </c>
      <c r="CD5" s="8">
        <f ca="1">(CC5*CE13)</f>
        <v>0</v>
      </c>
      <c r="CE5" s="8">
        <f>(CC5)</f>
        <v>0</v>
      </c>
      <c r="CG5" s="8" t="s">
        <v>0</v>
      </c>
      <c r="CH5" s="8">
        <f t="shared" ref="CH5:CH11" ca="1" si="31">(BR8)</f>
        <v>7682.7200000000012</v>
      </c>
      <c r="CI5" s="8">
        <f t="shared" ca="1" si="8"/>
        <v>1574.9576000000002</v>
      </c>
      <c r="CJ5" s="8">
        <f t="shared" ca="1" si="9"/>
        <v>76.827200000000019</v>
      </c>
      <c r="CK5" s="8">
        <f t="shared" ca="1" si="10"/>
        <v>-384.13600000000008</v>
      </c>
      <c r="CL5" s="8">
        <f t="shared" ca="1" si="11"/>
        <v>8950.3688000000002</v>
      </c>
      <c r="CM5" s="17" t="s">
        <v>63</v>
      </c>
      <c r="CN5" s="9">
        <v>114.6</v>
      </c>
      <c r="CO5" s="8">
        <f ca="1">(AR4*0.14*-1)</f>
        <v>-1014.9090000000001</v>
      </c>
      <c r="CP5" s="8">
        <f ca="1">(AR4*0.01*-1)</f>
        <v>-72.493500000000012</v>
      </c>
      <c r="CQ5" s="8">
        <f>(BA4+BK22+AI8+AM8)</f>
        <v>155.79900000000001</v>
      </c>
      <c r="CR5" s="8">
        <f ca="1">(AI4+CO5+CP5-CQ5)</f>
        <v>6266.4085000000014</v>
      </c>
      <c r="CS5" s="8">
        <f ca="1">SUM($CR$2:CR5)</f>
        <v>29436.923500000001</v>
      </c>
      <c r="CT5" s="12">
        <f t="shared" ca="1" si="12"/>
        <v>0.15</v>
      </c>
      <c r="CU5" s="18">
        <f t="shared" ca="1" si="15"/>
        <v>0</v>
      </c>
      <c r="CV5" s="19">
        <f t="shared" ca="1" si="13"/>
        <v>0.15</v>
      </c>
      <c r="CW5" s="8">
        <f t="shared" ca="1" si="20"/>
        <v>-939.96</v>
      </c>
      <c r="CX5" s="8">
        <f t="shared" si="14"/>
        <v>638.01</v>
      </c>
      <c r="CY5" s="8">
        <f t="shared" ca="1" si="16"/>
        <v>-301.95000000000005</v>
      </c>
      <c r="CZ5" s="19">
        <f t="shared" si="17"/>
        <v>0.84240999999999999</v>
      </c>
      <c r="DA5" s="19">
        <f t="shared" ca="1" si="18"/>
        <v>0.71491000000000005</v>
      </c>
      <c r="DB5" s="19">
        <f t="shared" ca="1" si="19"/>
        <v>0.84240999999999999</v>
      </c>
      <c r="DC5" s="7">
        <v>3</v>
      </c>
      <c r="DD5" s="20">
        <v>1.5</v>
      </c>
      <c r="DE5" s="21">
        <v>0.05</v>
      </c>
      <c r="DF5" s="22"/>
    </row>
    <row r="6" spans="1:110" ht="39.950000000000003" customHeight="1" x14ac:dyDescent="0.25">
      <c r="A6" s="60"/>
      <c r="B6" s="61"/>
      <c r="C6" s="59"/>
      <c r="D6" s="59"/>
      <c r="E6" s="62"/>
      <c r="F6" s="62"/>
      <c r="G6" s="59"/>
      <c r="H6" s="59"/>
      <c r="I6" s="59"/>
      <c r="J6" s="59"/>
      <c r="K6" s="59"/>
      <c r="L6" s="59"/>
      <c r="M6" s="59"/>
      <c r="N6" s="59"/>
      <c r="O6" s="73"/>
      <c r="P6" s="1" t="s">
        <v>33</v>
      </c>
      <c r="Q6" s="2">
        <f t="shared" ca="1" si="21"/>
        <v>15389.439435746772</v>
      </c>
      <c r="R6" s="2">
        <f ca="1">COUNTIF(S1,"Ocak")*(BN19)
+COUNTIF(S1,"Şubat")*(BN20)
+COUNTIF(S1,"Mart")*(BN21)
+COUNTIF(S1,"Nisan")*(BN22)
+COUNTIF(S1,"Mayıs")*(BN23)
+COUNTIF(S1,"Haziran")*(BN24)
+COUNTIF(S1,"Temmuz")*(BN25)
+COUNTIF(S1,"Ağustos")*(BX1)
+COUNTIF(S1,"Eylül")*(BX2)
+COUNTIF(S1,"Ekim")*(BX3)
+COUNTIF(S1,"Kasım")*(BX4)
+COUNTIF(S1,"Aralık")*(BX5)
+COUNTIF(S1,"Yıllık Toplam")*(BX6)
+COUNTIF(S1,"Yıllık Ortalama")*(BX7)</f>
        <v>15389.439435746772</v>
      </c>
      <c r="S6" s="68"/>
      <c r="T6" s="72"/>
      <c r="U6" s="15" t="s">
        <v>26</v>
      </c>
      <c r="V6" s="16" t="s">
        <v>102</v>
      </c>
      <c r="W6" s="74"/>
      <c r="X6" s="75"/>
      <c r="Y6" s="64"/>
      <c r="Z6" s="63"/>
      <c r="AA6" s="4" t="s">
        <v>79</v>
      </c>
      <c r="AB6" s="5">
        <v>171.26</v>
      </c>
      <c r="AC6" s="5">
        <v>215.7</v>
      </c>
      <c r="AD6" s="7" t="s">
        <v>0</v>
      </c>
      <c r="AE6" s="7" t="s">
        <v>0</v>
      </c>
      <c r="AF6" s="8">
        <f>($AF$14)</f>
        <v>58.861249999999998</v>
      </c>
      <c r="AG6" s="8">
        <f>($AG$14)</f>
        <v>83.400750000000002</v>
      </c>
      <c r="AH6" s="9">
        <f t="shared" si="22"/>
        <v>0</v>
      </c>
      <c r="AI6" s="9">
        <f t="shared" si="23"/>
        <v>0</v>
      </c>
      <c r="AJ6" s="9">
        <f t="shared" ca="1" si="24"/>
        <v>0</v>
      </c>
      <c r="AK6" s="18" t="s">
        <v>9</v>
      </c>
      <c r="AL6" s="8">
        <f t="shared" si="25"/>
        <v>-155.79900000000001</v>
      </c>
      <c r="AM6" s="8">
        <f t="shared" si="26"/>
        <v>155.79900000000001</v>
      </c>
      <c r="AN6" s="9">
        <f ca="1">(AR2*L16+AO6)*-1</f>
        <v>0</v>
      </c>
      <c r="AO6" s="9">
        <f>(BA12+BD12+BC12+AW12-AW2)*(L16*-1)</f>
        <v>0</v>
      </c>
      <c r="AP6" s="9">
        <f t="shared" ca="1" si="27"/>
        <v>0</v>
      </c>
      <c r="AQ6" s="8" t="s">
        <v>0</v>
      </c>
      <c r="AR6" s="8">
        <f>(5004)</f>
        <v>5004</v>
      </c>
      <c r="AS6" s="8">
        <f>(5004)</f>
        <v>5004</v>
      </c>
      <c r="AT6" s="8">
        <f t="shared" si="28"/>
        <v>0</v>
      </c>
      <c r="AU6" s="8">
        <f t="shared" si="29"/>
        <v>0</v>
      </c>
      <c r="AV6" s="8">
        <f>(0)</f>
        <v>0</v>
      </c>
      <c r="AW6" s="8">
        <f t="shared" si="30"/>
        <v>5004</v>
      </c>
      <c r="AX6" s="9">
        <f>COUNTIF(I24,"Yok")*(0)
+COUNTIF(I24,"Cenaze Yardımı (Anne-Baba)")*($CN$2)
+COUNTIF(I24,"Cenaze Yardımı (Eş-Çocuk)")*($CN$3)
+COUNTIF(I24,"Cenaze Yardımı (İşçi-Tabii Sebepler Sonucu)")*($CN$4)
+COUNTIF(I24,"Eğitim Yardımı (Çocuk-İlköğretim)")*($CN$5)
+COUNTIF(I24,"Eğitim Yardımı (Çocuk-Ortaöğretim)")*($CN$6)
+COUNTIF(I24,"Eğitim Yardımı (Çocuk-Lise)")*($CN$7)
+COUNTIF(I24,"Eğitim Yardımı (Çocuk-Yükseköğretim)")*($CN$8)
+COUNTIF(I24,"Evlilik Yardımı")*($CN$9)
+COUNTIF(I24,"İş Kazası veya Meslek Hastalığı Tazminatı")*($CN$10)
+COUNTIF(J24,"Yok")*(0)
+COUNTIF(J24,"Cenaze Yardımı (Anne-Baba)")*($CN$2)
+COUNTIF(J24,"Cenaze Yardımı (Eş-Çocuk)")*($CN$3)
+COUNTIF(J24,"Cenaze Yardımı (İşçi-Tabii Sebepler Sonucu)")*($CN$4)
+COUNTIF(J24,"Eğitim Yardımı (Çocuk-İlköğretim)")*($CN$5)
+COUNTIF(J24,"Eğitim Yardımı (Çocuk-Ortaöğretim)")*($CN$6)
+COUNTIF(J24,"Eğitim Yardımı (Çocuk-Lise)")*($CN$7)
+COUNTIF(J24,"Eğitim Yardımı (Çocuk-Yükseköğretim)")*($CN$8)
+COUNTIF(J24,"Evlilik Yardımı")*($CN$9)
+COUNTIF(J24,"İş Kazası veya Meslek Hastalığı Tazminatı")*($CN$10)
+COUNTIF(K24,"Yok")*(0)
+COUNTIF(K24,"Cenaze Yardımı (Anne-Baba)")*($CN$2)
+COUNTIF(K24,"Cenaze Yardımı (Eş-Çocuk)")*($CN$3)
+COUNTIF(K24,"Cenaze Yardımı (İşçi-Tabii Sebepler Sonucu)")*($CN$4)
+COUNTIF(K24,"Eğitim Yardımı (Çocuk-İlköğretim)")*($CN$5)
+COUNTIF(K24,"Eğitim Yardımı (Çocuk-Ortaöğretim)")*($CN$6)
+COUNTIF(K24,"Eğitim Yardımı (Çocuk-Lise)")*($CN$7)
+COUNTIF(K24,"Eğitim Yardımı (Çocuk-Yükseköğretim)")*($CN$8)
+COUNTIF(K24,"Evlilik Yardımı")*($CN$9)
+COUNTIF(K24,"İş Kazası veya Meslek Hastalığı Tazminatı")*($CN$10)</f>
        <v>0</v>
      </c>
      <c r="AY6" s="9">
        <f>COUNTIF(I24,"Yok")*(0)
+COUNTIF(I24,"Cenaze Yardımı (Anne-Baba)")*($CN$2)
+COUNTIF(I24,"Cenaze Yardımı (Eş-Çocuk)")*($CN$3)
+COUNTIF(I24,"Cenaze Yardımı (İşçi-Tabii Sebepler Sonucu)")*($CN$4)
+COUNTIF(I24,"Eğitim Yardımı (Çocuk-İlköğretim)")*($CN$5)
+COUNTIF(I24,"Eğitim Yardımı (Çocuk-Ortaöğretim)")*($CN$6)
+COUNTIF(I24,"Eğitim Yardımı (Çocuk-Lise)")*($CN$7)
+COUNTIF(I24,"Eğitim Yardımı (Çocuk-Yükseköğretim)")*($CN$8)
+COUNTIF(I24,"Evlilik Yardımı")*($CN$9)
+COUNTIF(I24,"İş Kazası veya Meslek Hastalığı Tazminatı")*($CN$10)
+COUNTIF(J24,"Yok")*(0)
+COUNTIF(J24,"Cenaze Yardımı (Anne-Baba)")*($CN$2)
+COUNTIF(J24,"Cenaze Yardımı (Eş-Çocuk)")*($CN$3)
+COUNTIF(J24,"Cenaze Yardımı (İşçi-Tabii Sebepler Sonucu)")*($CN$4)
+COUNTIF(J24,"Eğitim Yardımı (Çocuk-İlköğretim)")*($CN$5)
+COUNTIF(J24,"Eğitim Yardımı (Çocuk-Ortaöğretim)")*($CN$6)
+COUNTIF(J24,"Eğitim Yardımı (Çocuk-Lise)")*($CN$7)
+COUNTIF(J24,"Eğitim Yardımı (Çocuk-Yükseköğretim)")*($CN$8)
+COUNTIF(J24,"Evlilik Yardımı")*($CN$9)
+COUNTIF(J24,"İş Kazası veya Meslek Hastalığı Tazminatı")*($CN$10)
+COUNTIF(K24,"Yok")*(0)
+COUNTIF(K24,"Cenaze Yardımı (Anne-Baba)")*($CN$2)
+COUNTIF(K24,"Cenaze Yardımı (Eş-Çocuk)")*($CN$3)
+COUNTIF(K24,"Cenaze Yardımı (İşçi-Tabii Sebepler Sonucu)")*($CN$4)
+COUNTIF(K24,"Eğitim Yardımı (Çocuk-İlköğretim)")*($CN$5)
+COUNTIF(K24,"Eğitim Yardımı (Çocuk-Ortaöğretim)")*($CN$6)
+COUNTIF(K24,"Eğitim Yardımı (Çocuk-Lise)")*($CN$7)
+COUNTIF(K24,"Eğitim Yardımı (Çocuk-Yükseköğretim)")*($CN$8)
+COUNTIF(K24,"Evlilik Yardımı")*($CN$9)
+COUNTIF(K24,"İş Kazası veya Meslek Hastalığı Tazminatı")*($CN$10)</f>
        <v>0</v>
      </c>
      <c r="AZ6" s="9">
        <f ca="1">COUNTIF(I24,"Yok")*(0)
+COUNTIF(I24,"Cenaze Yardımı (Anne-Baba)")*($CN$2-$CN$2*0.00759)
+COUNTIF(I24,"Cenaze Yardımı (Eş-Çocuk)")*($CN$3-$CN$3*0.00759)
+COUNTIF(I24,"Cenaze Yardımı (İşçi-Tabii Sebepler Sonucu)")*($CN$4-$CN$4*0.00759)
+COUNTIF(I24,"Eğitim Yardımı (Çocuk-İlköğretim)")*($CN$5*CE11)
+COUNTIF(I24,"Eğitim Yardımı (Çocuk-Ortaöğretim)")*($CN$6*CE11)
+COUNTIF(I24,"Eğitim Yardımı (Çocuk-Lise)")*($CN$7*CE11)
+COUNTIF(I24,"Eğitim Yardımı (Çocuk-Yükseköğretim)")*($CN$8*CE11)
+COUNTIF(I24,"Evlilik Yardımı")*($CN$9-$CN$9*0.00759)
+COUNTIF(I24,"İş Kazası veya Meslek Hastalığı Tazminatı")*($CN$10-$CN$10*0.00759)
+COUNTIF(J24,"Yok")*(0)
+COUNTIF(J24,"Cenaze Yardımı (Anne-Baba)")*($CN$2-$CN$2*0.00759)
+COUNTIF(J24,"Cenaze Yardımı (Eş-Çocuk)")*($CN$3-$CN$3*0.00759)
+COUNTIF(J24,"Cenaze Yardımı (İşçi-Tabii Sebepler Sonucu)")*($CN$4-$CN$4*0.00759)
+COUNTIF(J24,"Eğitim Yardımı (Çocuk-İlköğretim)")*($CN$5*CE11)
+COUNTIF(J24,"Eğitim Yardımı (Çocuk-Ortaöğretim)")*($CN$6*CE11)
+COUNTIF(J24,"Eğitim Yardımı (Çocuk-Lise)")*($CN$7*CE11)
+COUNTIF(J24,"Eğitim Yardımı (Çocuk-Yükseköğretim)")*($CN$8*CE11)
+COUNTIF(J24,"Evlilik Yardımı")*($CN$9-$CN$9*0.00759)
+COUNTIF(J24,"İş Kazası veya Meslek Hastalığı Tazminatı")*($CN$10-$CN$10*0.00759)
+COUNTIF(K24,"Yok")*(0)
+COUNTIF(K24,"Cenaze Yardımı (Anne-Baba)")*($CN$2-$CN$2*0.00759)
+COUNTIF(K24,"Cenaze Yardımı (Eş-Çocuk)")*($CN$3-$CN$3*0.00759)
+COUNTIF(K24,"Cenaze Yardımı (İşçi-Tabii Sebepler Sonucu)")*($CN$4-$CN$4*0.00759)
+COUNTIF(K24,"Eğitim Yardımı (Çocuk-İlköğretim)")*($CN$5*CE11)
+COUNTIF(K24,"Eğitim Yardımı (Çocuk-Ortaöğretim)")*($CN$6*CE11)
+COUNTIF(K24,"Eğitim Yardımı (Çocuk-Lise)")*($CN$7*CE11)
+COUNTIF(K24,"Eğitim Yardımı (Çocuk-Yükseköğretim)")*($CN$8*CE11)
+COUNTIF(K24,"Evlilik Yardımı")*($CN$9-$CN$9*0.00759)
+COUNTIF(K24,"İş Kazası veya Meslek Hastalığı Tazminatı")*($CN$10-$CN$10*0.00759)</f>
        <v>0</v>
      </c>
      <c r="BA6" s="18" t="s">
        <v>9</v>
      </c>
      <c r="BB6" s="8">
        <f>COUNTIF(BA6,"Var")*(AN20*0.9*-1)</f>
        <v>-194.13</v>
      </c>
      <c r="BC6" s="8">
        <f>(BB6*-1)</f>
        <v>194.13</v>
      </c>
      <c r="BD6" s="9">
        <f ca="1">(AX25*L26+BE6)*-1</f>
        <v>0</v>
      </c>
      <c r="BE6" s="9">
        <f t="shared" si="1"/>
        <v>0</v>
      </c>
      <c r="BF6" s="9">
        <f t="shared" ca="1" si="2"/>
        <v>0</v>
      </c>
      <c r="BG6" s="8" t="s">
        <v>0</v>
      </c>
      <c r="BH6" s="8">
        <f>(6471)</f>
        <v>6471</v>
      </c>
      <c r="BI6" s="8">
        <f>(6471)</f>
        <v>6471</v>
      </c>
      <c r="BJ6" s="8">
        <f t="shared" si="3"/>
        <v>0</v>
      </c>
      <c r="BK6" s="8">
        <f t="shared" si="4"/>
        <v>0</v>
      </c>
      <c r="BL6" s="8">
        <f>(0)</f>
        <v>0</v>
      </c>
      <c r="BM6" s="8">
        <f t="shared" si="5"/>
        <v>6471</v>
      </c>
      <c r="BN6" s="8">
        <f t="shared" si="6"/>
        <v>-905.94</v>
      </c>
      <c r="BO6" s="8">
        <f t="shared" si="7"/>
        <v>-64.710000000000008</v>
      </c>
      <c r="BP6" s="10">
        <f t="shared" ref="BP6:BU6" si="32">(BF19+BF20+BF21+BF22+BF23+BF24+BF25+BP1+BP2+BP3+BP4+BP5)</f>
        <v>0</v>
      </c>
      <c r="BQ6" s="8">
        <f t="shared" ca="1" si="32"/>
        <v>0</v>
      </c>
      <c r="BR6" s="8">
        <f t="shared" si="32"/>
        <v>0</v>
      </c>
      <c r="BS6" s="8">
        <f t="shared" si="32"/>
        <v>0</v>
      </c>
      <c r="BT6" s="8">
        <f t="shared" si="32"/>
        <v>0</v>
      </c>
      <c r="BU6" s="8">
        <f t="shared" si="32"/>
        <v>0</v>
      </c>
      <c r="BV6" s="24" t="s">
        <v>0</v>
      </c>
      <c r="BW6" s="8">
        <f>(BM19+BM20+BM21+BM22+BM23+BM24+BM25+BW1+BW2+BW3+BW4+BW5)</f>
        <v>23328.6</v>
      </c>
      <c r="BX6" s="8">
        <f ca="1">(BN19+BN20+BN21+BN22+BN23+BN24+BN25+BX1+BX2+BX3+BX4+BX5)</f>
        <v>15389.439435746772</v>
      </c>
      <c r="BY6" s="10">
        <f>(BO19+BO20+BO21+BO22+BO23+BO24+BO25+BY1+BY2+BY3+BY4+BY5)</f>
        <v>360</v>
      </c>
      <c r="BZ6" s="8">
        <f>(BP19+BP20+BP21+BP22+BP23+BP24+BP25+BZ1+BZ2+BZ3+BZ4+BZ5)</f>
        <v>12557.639999999998</v>
      </c>
      <c r="CA6" s="8">
        <f ca="1">(BQ19+BQ20+BQ21+BQ22+BQ23+BQ24+BQ25+CA1+CA2+CA3+CA4+CA5)</f>
        <v>8431.3120921222926</v>
      </c>
      <c r="CC6" s="8">
        <f>(BS19+BS20+BS21+BS22+BS23+BS24+BS25+CC1+CC2+CC3+CC4+CC5)</f>
        <v>0</v>
      </c>
      <c r="CD6" s="8">
        <f ca="1">(BT19+BT20+BT21+BT22+BT23+BT24+BT25+CD1+CD2+CD3+CD4+CD5)</f>
        <v>0</v>
      </c>
      <c r="CE6" s="8">
        <f>(BU19+BU20+BU21+BU22+BU23+BU24+BU25+CE1+CE2+CE3+CE4+CE5)</f>
        <v>0</v>
      </c>
      <c r="CG6" s="8" t="s">
        <v>0</v>
      </c>
      <c r="CH6" s="8">
        <f t="shared" ca="1" si="31"/>
        <v>12702.91</v>
      </c>
      <c r="CI6" s="8">
        <f t="shared" ca="1" si="8"/>
        <v>2604.0965499999998</v>
      </c>
      <c r="CJ6" s="8">
        <f t="shared" ca="1" si="9"/>
        <v>127.0291</v>
      </c>
      <c r="CK6" s="8">
        <f t="shared" ca="1" si="10"/>
        <v>-635.14550000000008</v>
      </c>
      <c r="CL6" s="8">
        <f t="shared" ca="1" si="11"/>
        <v>14798.890149999999</v>
      </c>
      <c r="CM6" s="17" t="s">
        <v>64</v>
      </c>
      <c r="CN6" s="9">
        <v>114.6</v>
      </c>
      <c r="CO6" s="8">
        <f t="shared" ref="CO6:CO12" ca="1" si="33">(CA8*0.14*-1)</f>
        <v>-1039.1444000000001</v>
      </c>
      <c r="CP6" s="8">
        <f t="shared" ref="CP6:CP12" ca="1" si="34">(CA8*0.01*-1)</f>
        <v>-74.224600000000009</v>
      </c>
      <c r="CQ6" s="8">
        <f>(BN9+BK23+AI9+AM9)</f>
        <v>155.79900000000001</v>
      </c>
      <c r="CR6" s="8">
        <f t="shared" ref="CR6:CR12" ca="1" si="35">(BR8+CO6+CP6-CQ6)</f>
        <v>6413.5520000000006</v>
      </c>
      <c r="CS6" s="8">
        <f ca="1">SUM($CR$2:CR6)</f>
        <v>35850.4755</v>
      </c>
      <c r="CT6" s="12">
        <f t="shared" ca="1" si="12"/>
        <v>0.2</v>
      </c>
      <c r="CU6" s="18">
        <f t="shared" ca="1" si="15"/>
        <v>1</v>
      </c>
      <c r="CV6" s="19">
        <f t="shared" ca="1" si="13"/>
        <v>0.18001827614401503</v>
      </c>
      <c r="CW6" s="8">
        <f t="shared" ca="1" si="20"/>
        <v>-1154.56</v>
      </c>
      <c r="CX6" s="8">
        <f t="shared" si="14"/>
        <v>638.01</v>
      </c>
      <c r="CY6" s="8">
        <f t="shared" ca="1" si="16"/>
        <v>-516.54999999999995</v>
      </c>
      <c r="CZ6" s="19">
        <f t="shared" si="17"/>
        <v>0.84240999999999999</v>
      </c>
      <c r="DA6" s="19">
        <f t="shared" ca="1" si="18"/>
        <v>0.68939446527758719</v>
      </c>
      <c r="DB6" s="19">
        <f t="shared" ca="1" si="19"/>
        <v>0.8123917238559849</v>
      </c>
      <c r="DC6" s="7">
        <v>4</v>
      </c>
      <c r="DD6" s="20">
        <v>2</v>
      </c>
      <c r="DE6" s="21">
        <v>0.06</v>
      </c>
      <c r="DF6" s="22"/>
    </row>
    <row r="7" spans="1:110" ht="39.950000000000003" customHeight="1" x14ac:dyDescent="0.25">
      <c r="A7" s="60"/>
      <c r="B7" s="61"/>
      <c r="C7" s="59"/>
      <c r="D7" s="59"/>
      <c r="E7" s="62"/>
      <c r="F7" s="62"/>
      <c r="G7" s="59"/>
      <c r="H7" s="59"/>
      <c r="I7" s="59"/>
      <c r="J7" s="59"/>
      <c r="K7" s="59"/>
      <c r="L7" s="59"/>
      <c r="M7" s="59"/>
      <c r="N7" s="59"/>
      <c r="O7" s="73"/>
      <c r="P7" s="1" t="s">
        <v>7</v>
      </c>
      <c r="Q7" s="2">
        <f t="shared" ca="1" si="21"/>
        <v>8431.3120921222926</v>
      </c>
      <c r="R7" s="2">
        <f ca="1">COUNTIF(S1,"Ocak")*(BQ19)
+COUNTIF(S1,"Şubat")*(BQ20)
+COUNTIF(S1,"Mart")*(BQ21)
+COUNTIF(S1,"Nisan")*(BQ22)
+COUNTIF(S1,"Mayıs")*(BQ23)
+COUNTIF(S1,"Haziran")*(BQ24)
+COUNTIF(S1,"Temmuz")*(BQ25)
+COUNTIF(S1,"Ağustos")*(CA1)
+COUNTIF(S1,"Eylül")*(CA2)
+COUNTIF(S1,"Ekim")*(CA3)
+COUNTIF(S1,"Kasım")*(CA4)
+COUNTIF(S1,"Aralık")*(CA5)
+COUNTIF(S1,"Yıllık Toplam")*(CA6)
+COUNTIF(S1,"Yıllık Ortalama")*(CA7)</f>
        <v>8431.3120921222926</v>
      </c>
      <c r="S7" s="68"/>
      <c r="T7" s="72"/>
      <c r="U7" s="15" t="s">
        <v>27</v>
      </c>
      <c r="V7" s="16" t="s">
        <v>103</v>
      </c>
      <c r="W7" s="74"/>
      <c r="X7" s="75"/>
      <c r="Y7" s="64"/>
      <c r="Z7" s="63"/>
      <c r="AA7" s="25" t="s">
        <v>80</v>
      </c>
      <c r="AB7" s="5">
        <v>340.91</v>
      </c>
      <c r="AC7" s="5">
        <v>340.91</v>
      </c>
      <c r="AD7" s="8" t="s">
        <v>0</v>
      </c>
      <c r="AE7" s="7" t="s">
        <v>0</v>
      </c>
      <c r="AF7" s="8">
        <f>(5004)</f>
        <v>5004</v>
      </c>
      <c r="AG7" s="8">
        <f>(6471)</f>
        <v>6471</v>
      </c>
      <c r="AH7" s="9">
        <f t="shared" si="22"/>
        <v>0</v>
      </c>
      <c r="AI7" s="9">
        <f t="shared" si="23"/>
        <v>0</v>
      </c>
      <c r="AJ7" s="9">
        <f t="shared" ca="1" si="24"/>
        <v>0</v>
      </c>
      <c r="AK7" s="18" t="s">
        <v>9</v>
      </c>
      <c r="AL7" s="8">
        <f t="shared" si="25"/>
        <v>-155.79900000000001</v>
      </c>
      <c r="AM7" s="8">
        <f t="shared" si="26"/>
        <v>155.79900000000001</v>
      </c>
      <c r="AN7" s="9">
        <f ca="1">(AR3*L17+AO7)*-1</f>
        <v>0</v>
      </c>
      <c r="AO7" s="9">
        <f>(BA13+BD13+BC13+AW13-AW3)*(L17*-1)</f>
        <v>0</v>
      </c>
      <c r="AP7" s="9">
        <f t="shared" ca="1" si="27"/>
        <v>0</v>
      </c>
      <c r="AQ7" s="8" t="s">
        <v>0</v>
      </c>
      <c r="AR7" s="8">
        <f>(5004)</f>
        <v>5004</v>
      </c>
      <c r="AS7" s="8">
        <f>(5004)</f>
        <v>5004</v>
      </c>
      <c r="AT7" s="8">
        <f t="shared" si="28"/>
        <v>0</v>
      </c>
      <c r="AU7" s="8">
        <f t="shared" si="29"/>
        <v>0</v>
      </c>
      <c r="AV7" s="8">
        <f>(0)</f>
        <v>0</v>
      </c>
      <c r="AW7" s="8">
        <f t="shared" si="30"/>
        <v>5004</v>
      </c>
      <c r="AX7" s="9">
        <f>COUNTIF(I25,"Yok")*(0)
+COUNTIF(I25,"Cenaze Yardımı (Anne-Baba)")*($CN$2)
+COUNTIF(I25,"Cenaze Yardımı (Eş-Çocuk)")*($CN$3)
+COUNTIF(I25,"Cenaze Yardımı (İşçi-Tabii Sebepler Sonucu)")*($CN$4)
+COUNTIF(I25,"Eğitim Yardımı (Çocuk-İlköğretim)")*($CN$5)
+COUNTIF(I25,"Eğitim Yardımı (Çocuk-Ortaöğretim)")*($CN$6)
+COUNTIF(I25,"Eğitim Yardımı (Çocuk-Lise)")*($CN$7)
+COUNTIF(I25,"Eğitim Yardımı (Çocuk-Yükseköğretim)")*($CN$8)
+COUNTIF(I25,"Evlilik Yardımı")*($CN$9)
+COUNTIF(I25,"İş Kazası veya Meslek Hastalığı Tazminatı")*($CN$10)
+COUNTIF(J25,"Yok")*(0)
+COUNTIF(J25,"Cenaze Yardımı (Anne-Baba)")*($CN$2)
+COUNTIF(J25,"Cenaze Yardımı (Eş-Çocuk)")*($CN$3)
+COUNTIF(J25,"Cenaze Yardımı (İşçi-Tabii Sebepler Sonucu)")*($CN$4)
+COUNTIF(J25,"Eğitim Yardımı (Çocuk-İlköğretim)")*($CN$5)
+COUNTIF(J25,"Eğitim Yardımı (Çocuk-Ortaöğretim)")*($CN$6)
+COUNTIF(J25,"Eğitim Yardımı (Çocuk-Lise)")*($CN$7)
+COUNTIF(J25,"Eğitim Yardımı (Çocuk-Yükseköğretim)")*($CN$8)
+COUNTIF(J25,"Evlilik Yardımı")*($CN$9)
+COUNTIF(J25,"İş Kazası veya Meslek Hastalığı Tazminatı")*($CN$10)
+COUNTIF(K25,"Yok")*(0)
+COUNTIF(K25,"Cenaze Yardımı (Anne-Baba)")*($CN$2)
+COUNTIF(K25,"Cenaze Yardımı (Eş-Çocuk)")*($CN$3)
+COUNTIF(K25,"Cenaze Yardımı (İşçi-Tabii Sebepler Sonucu)")*($CN$4)
+COUNTIF(K25,"Eğitim Yardımı (Çocuk-İlköğretim)")*($CN$5)
+COUNTIF(K25,"Eğitim Yardımı (Çocuk-Ortaöğretim)")*($CN$6)
+COUNTIF(K25,"Eğitim Yardımı (Çocuk-Lise)")*($CN$7)
+COUNTIF(K25,"Eğitim Yardımı (Çocuk-Yükseköğretim)")*($CN$8)
+COUNTIF(K25,"Evlilik Yardımı")*($CN$9)
+COUNTIF(K25,"İş Kazası veya Meslek Hastalığı Tazminatı")*($CN$10)</f>
        <v>0</v>
      </c>
      <c r="AY7" s="9">
        <f>COUNTIF(I25,"Yok")*(0)
+COUNTIF(I25,"Cenaze Yardımı (Anne-Baba)")*($CN$2)
+COUNTIF(I25,"Cenaze Yardımı (Eş-Çocuk)")*($CN$3)
+COUNTIF(I25,"Cenaze Yardımı (İşçi-Tabii Sebepler Sonucu)")*($CN$4)
+COUNTIF(I25,"Eğitim Yardımı (Çocuk-İlköğretim)")*($CN$5)
+COUNTIF(I25,"Eğitim Yardımı (Çocuk-Ortaöğretim)")*($CN$6)
+COUNTIF(I25,"Eğitim Yardımı (Çocuk-Lise)")*($CN$7)
+COUNTIF(I25,"Eğitim Yardımı (Çocuk-Yükseköğretim)")*($CN$8)
+COUNTIF(I25,"Evlilik Yardımı")*($CN$9)
+COUNTIF(I25,"İş Kazası veya Meslek Hastalığı Tazminatı")*($CN$10)
+COUNTIF(J25,"Yok")*(0)
+COUNTIF(J25,"Cenaze Yardımı (Anne-Baba)")*($CN$2)
+COUNTIF(J25,"Cenaze Yardımı (Eş-Çocuk)")*($CN$3)
+COUNTIF(J25,"Cenaze Yardımı (İşçi-Tabii Sebepler Sonucu)")*($CN$4)
+COUNTIF(J25,"Eğitim Yardımı (Çocuk-İlköğretim)")*($CN$5)
+COUNTIF(J25,"Eğitim Yardımı (Çocuk-Ortaöğretim)")*($CN$6)
+COUNTIF(J25,"Eğitim Yardımı (Çocuk-Lise)")*($CN$7)
+COUNTIF(J25,"Eğitim Yardımı (Çocuk-Yükseköğretim)")*($CN$8)
+COUNTIF(J25,"Evlilik Yardımı")*($CN$9)
+COUNTIF(J25,"İş Kazası veya Meslek Hastalığı Tazminatı")*($CN$10)
+COUNTIF(K25,"Yok")*(0)
+COUNTIF(K25,"Cenaze Yardımı (Anne-Baba)")*($CN$2)
+COUNTIF(K25,"Cenaze Yardımı (Eş-Çocuk)")*($CN$3)
+COUNTIF(K25,"Cenaze Yardımı (İşçi-Tabii Sebepler Sonucu)")*($CN$4)
+COUNTIF(K25,"Eğitim Yardımı (Çocuk-İlköğretim)")*($CN$5)
+COUNTIF(K25,"Eğitim Yardımı (Çocuk-Ortaöğretim)")*($CN$6)
+COUNTIF(K25,"Eğitim Yardımı (Çocuk-Lise)")*($CN$7)
+COUNTIF(K25,"Eğitim Yardımı (Çocuk-Yükseköğretim)")*($CN$8)
+COUNTIF(K25,"Evlilik Yardımı")*($CN$9)
+COUNTIF(K25,"İş Kazası veya Meslek Hastalığı Tazminatı")*($CN$10)</f>
        <v>0</v>
      </c>
      <c r="AZ7" s="9">
        <f ca="1">COUNTIF(I25,"Yok")*(0)
+COUNTIF(I25,"Cenaze Yardımı (Anne-Baba)")*($CN$2-$CN$2*0.00759)
+COUNTIF(I25,"Cenaze Yardımı (Eş-Çocuk)")*($CN$3-$CN$3*0.00759)
+COUNTIF(I25,"Cenaze Yardımı (İşçi-Tabii Sebepler Sonucu)")*($CN$4-$CN$4*0.00759)
+COUNTIF(I25,"Eğitim Yardımı (Çocuk-İlköğretim)")*($CN$5*CE12)
+COUNTIF(I25,"Eğitim Yardımı (Çocuk-Ortaöğretim)")*($CN$6*CE12)
+COUNTIF(I25,"Eğitim Yardımı (Çocuk-Lise)")*($CN$7*CE12)
+COUNTIF(I25,"Eğitim Yardımı (Çocuk-Yükseköğretim)")*($CN$8*CE12)
+COUNTIF(I25,"Evlilik Yardımı")*($CN$9-$CN$9*0.00759)
+COUNTIF(I25,"İş Kazası veya Meslek Hastalığı Tazminatı")*($CN$10-$CN$10*0.00759)
+COUNTIF(J25,"Yok")*(0)
+COUNTIF(J25,"Cenaze Yardımı (Anne-Baba)")*($CN$2-$CN$2*0.00759)
+COUNTIF(J25,"Cenaze Yardımı (Eş-Çocuk)")*($CN$3-$CN$3*0.00759)
+COUNTIF(J25,"Cenaze Yardımı (İşçi-Tabii Sebepler Sonucu)")*($CN$4-$CN$4*0.00759)
+COUNTIF(J25,"Eğitim Yardımı (Çocuk-İlköğretim)")*($CN$5*CE12)
+COUNTIF(J25,"Eğitim Yardımı (Çocuk-Ortaöğretim)")*($CN$6*CE12)
+COUNTIF(J25,"Eğitim Yardımı (Çocuk-Lise)")*($CN$7*CE12)
+COUNTIF(J25,"Eğitim Yardımı (Çocuk-Yükseköğretim)")*($CN$8*CE12)
+COUNTIF(J25,"Evlilik Yardımı")*($CN$9-$CN$9*0.00759)
+COUNTIF(J25,"İş Kazası veya Meslek Hastalığı Tazminatı")*($CN$10-$CN$10*0.00759)
+COUNTIF(K25,"Yok")*(0)
+COUNTIF(K25,"Cenaze Yardımı (Anne-Baba)")*($CN$2-$CN$2*0.00759)
+COUNTIF(K25,"Cenaze Yardımı (Eş-Çocuk)")*($CN$3-$CN$3*0.00759)
+COUNTIF(K25,"Cenaze Yardımı (İşçi-Tabii Sebepler Sonucu)")*($CN$4-$CN$4*0.00759)
+COUNTIF(K25,"Eğitim Yardımı (Çocuk-İlköğretim)")*($CN$5*CE12)
+COUNTIF(K25,"Eğitim Yardımı (Çocuk-Ortaöğretim)")*($CN$6*CE12)
+COUNTIF(K25,"Eğitim Yardımı (Çocuk-Lise)")*($CN$7*CE12)
+COUNTIF(K25,"Eğitim Yardımı (Çocuk-Yükseköğretim)")*($CN$8*CE12)
+COUNTIF(K25,"Evlilik Yardımı")*($CN$9-$CN$9*0.00759)
+COUNTIF(K25,"İş Kazası veya Meslek Hastalığı Tazminatı")*($CN$10-$CN$10*0.00759)</f>
        <v>0</v>
      </c>
      <c r="BA7" s="18" t="s">
        <v>9</v>
      </c>
      <c r="BB7" s="8">
        <f>COUNTIF(BA7,"Var")*(AN21*0.9*-1)</f>
        <v>-194.13</v>
      </c>
      <c r="BC7" s="8">
        <f>(BB7*-1)</f>
        <v>194.13</v>
      </c>
      <c r="BD7" s="8">
        <f ca="1">(AN5+AN6+AN7+AN8+AN9+AN10+BD1+BD2+BD3+BD4+BD5+BD6)</f>
        <v>0</v>
      </c>
      <c r="BE7" s="8">
        <f>(AO5+AO6+AO7+AO8+AO9+AO10+BE1+BE2+BE3+BE4+BE5+BE6)</f>
        <v>0</v>
      </c>
      <c r="BF7" s="8">
        <f ca="1">(AP5+AP6+AP7+AP8+AP9+AP10+BF1+BF2+BF3+BF4+BF5+BF6)</f>
        <v>0</v>
      </c>
      <c r="BG7" s="9" t="s">
        <v>0</v>
      </c>
      <c r="BH7" s="8">
        <f t="shared" ref="BH7:BM7" si="36">(AR5+AR6+AR7+AR8+AR9+AR10+BH1+BH2+BH3+BH4+BH5+BH6)</f>
        <v>68850</v>
      </c>
      <c r="BI7" s="8">
        <f t="shared" si="36"/>
        <v>68850</v>
      </c>
      <c r="BJ7" s="8">
        <f t="shared" si="36"/>
        <v>0</v>
      </c>
      <c r="BK7" s="8">
        <f t="shared" si="36"/>
        <v>0</v>
      </c>
      <c r="BL7" s="8">
        <f t="shared" si="36"/>
        <v>0</v>
      </c>
      <c r="BM7" s="8">
        <f t="shared" si="36"/>
        <v>68850</v>
      </c>
      <c r="BN7" s="8">
        <f>(BV16+BV17+BV18+BV19+BV20+BV21+BN1+BN2+BN3+BN4+BN5+BN6)</f>
        <v>-9639.0000000000036</v>
      </c>
      <c r="BO7" s="8">
        <f>(BW16+BW17+BW18+BW19+BW20+BW21+BO1+BO2+BO3+BO4+BO5+BO6)</f>
        <v>-688.50000000000023</v>
      </c>
      <c r="BP7" s="24" t="s">
        <v>0</v>
      </c>
      <c r="BQ7" s="8">
        <f t="shared" ref="BQ7:BU7" ca="1" si="37">(BQ6/12)</f>
        <v>0</v>
      </c>
      <c r="BR7" s="8">
        <f t="shared" si="37"/>
        <v>0</v>
      </c>
      <c r="BS7" s="8">
        <f t="shared" si="37"/>
        <v>0</v>
      </c>
      <c r="BT7" s="8">
        <f t="shared" si="37"/>
        <v>0</v>
      </c>
      <c r="BU7" s="8">
        <f t="shared" si="37"/>
        <v>0</v>
      </c>
      <c r="BV7" s="24" t="s">
        <v>0</v>
      </c>
      <c r="BW7" s="8">
        <f t="shared" ref="BW7:BX7" si="38">(BW6/12)</f>
        <v>1944.05</v>
      </c>
      <c r="BX7" s="8">
        <f t="shared" ca="1" si="38"/>
        <v>1282.4532863122311</v>
      </c>
      <c r="BY7" s="24" t="s">
        <v>0</v>
      </c>
      <c r="BZ7" s="8">
        <f t="shared" ref="BZ7:CA7" si="39">(BZ6/12)</f>
        <v>1046.4699999999998</v>
      </c>
      <c r="CA7" s="8">
        <f t="shared" ca="1" si="39"/>
        <v>702.60934101019109</v>
      </c>
      <c r="CC7" s="8">
        <f t="shared" ref="CC7:CD7" si="40">(CC6/12)</f>
        <v>0</v>
      </c>
      <c r="CD7" s="8">
        <f t="shared" ca="1" si="40"/>
        <v>0</v>
      </c>
      <c r="CE7" s="8">
        <f t="shared" ref="CE7" si="41">(CE6/12)</f>
        <v>0</v>
      </c>
      <c r="CG7" s="8" t="s">
        <v>0</v>
      </c>
      <c r="CH7" s="8">
        <f t="shared" ca="1" si="31"/>
        <v>9003.01</v>
      </c>
      <c r="CI7" s="8">
        <f t="shared" ca="1" si="8"/>
        <v>1845.6170499999998</v>
      </c>
      <c r="CJ7" s="8">
        <f t="shared" ca="1" si="9"/>
        <v>90.030100000000004</v>
      </c>
      <c r="CK7" s="8">
        <f t="shared" ca="1" si="10"/>
        <v>-450.15050000000002</v>
      </c>
      <c r="CL7" s="8">
        <f t="shared" ca="1" si="11"/>
        <v>10488.506649999999</v>
      </c>
      <c r="CM7" s="17" t="s">
        <v>65</v>
      </c>
      <c r="CN7" s="9">
        <v>171.9</v>
      </c>
      <c r="CO7" s="8">
        <f t="shared" ca="1" si="33"/>
        <v>-1741.971</v>
      </c>
      <c r="CP7" s="8">
        <f t="shared" ca="1" si="34"/>
        <v>-124.4265</v>
      </c>
      <c r="CQ7" s="8">
        <f>(BN10+BK24+AI10+AM10)</f>
        <v>155.79900000000001</v>
      </c>
      <c r="CR7" s="8">
        <f t="shared" ca="1" si="35"/>
        <v>10680.7135</v>
      </c>
      <c r="CS7" s="8">
        <f ca="1">SUM($CR$2:CR7)</f>
        <v>46531.188999999998</v>
      </c>
      <c r="CT7" s="12">
        <f t="shared" ca="1" si="12"/>
        <v>0.2</v>
      </c>
      <c r="CU7" s="18">
        <f t="shared" ca="1" si="15"/>
        <v>0</v>
      </c>
      <c r="CV7" s="19">
        <f t="shared" ca="1" si="13"/>
        <v>0.2</v>
      </c>
      <c r="CW7" s="8">
        <f t="shared" ca="1" si="20"/>
        <v>-2136.14</v>
      </c>
      <c r="CX7" s="8">
        <f t="shared" si="14"/>
        <v>638.01</v>
      </c>
      <c r="CY7" s="8">
        <f t="shared" ca="1" si="16"/>
        <v>-1498.1299999999999</v>
      </c>
      <c r="CZ7" s="19">
        <f t="shared" si="17"/>
        <v>0.84240999999999999</v>
      </c>
      <c r="DA7" s="19">
        <f t="shared" ca="1" si="18"/>
        <v>0.67240999999999995</v>
      </c>
      <c r="DB7" s="19">
        <f t="shared" ca="1" si="19"/>
        <v>0.79240999999999995</v>
      </c>
      <c r="DC7" s="7">
        <v>5</v>
      </c>
      <c r="DD7" s="20">
        <v>2.5</v>
      </c>
      <c r="DE7" s="21">
        <v>7.0000000000000007E-2</v>
      </c>
      <c r="DF7" s="22"/>
    </row>
    <row r="8" spans="1:110" ht="39.950000000000003" customHeight="1" x14ac:dyDescent="0.25">
      <c r="A8" s="60"/>
      <c r="B8" s="61"/>
      <c r="C8" s="59"/>
      <c r="D8" s="59"/>
      <c r="E8" s="62"/>
      <c r="F8" s="62"/>
      <c r="G8" s="59"/>
      <c r="H8" s="59"/>
      <c r="I8" s="59"/>
      <c r="J8" s="59"/>
      <c r="K8" s="59"/>
      <c r="L8" s="59"/>
      <c r="M8" s="59"/>
      <c r="N8" s="59"/>
      <c r="O8" s="73"/>
      <c r="P8" s="1" t="s">
        <v>97</v>
      </c>
      <c r="Q8" s="2">
        <f t="shared" ca="1" si="21"/>
        <v>0</v>
      </c>
      <c r="R8" s="2">
        <f ca="1">COUNTIF(S1,"Ocak")*(BT19)
+COUNTIF(S1,"Şubat")*(BT20)
+COUNTIF(S1,"Mart")*(BT21)
+COUNTIF(S1,"Nisan")*(BT22)
+COUNTIF(S1,"Mayıs")*(BT23)
+COUNTIF(S1,"Haziran")*(BT24)
+COUNTIF(S1,"Temmuz")*(BT25)
+COUNTIF(S1,"Ağustos")*(CD1)
+COUNTIF(S1,"Eylül")*(CD2)
+COUNTIF(S1,"Ekim")*(CD3)
+COUNTIF(S1,"Kasım")*(CD4)
+COUNTIF(S1,"Aralık")*(CD5)
+COUNTIF(S1,"Yıllık Toplam")*(CD6)
+COUNTIF(S1,"Yıllık Ortalama")*(CD7)</f>
        <v>0</v>
      </c>
      <c r="S8" s="68"/>
      <c r="T8" s="72"/>
      <c r="U8" s="15" t="s">
        <v>43</v>
      </c>
      <c r="V8" s="23" t="s">
        <v>48</v>
      </c>
      <c r="W8" s="74"/>
      <c r="X8" s="75"/>
      <c r="Y8" s="64"/>
      <c r="Z8" s="63"/>
      <c r="AA8" s="11" t="s">
        <v>81</v>
      </c>
      <c r="AB8" s="5">
        <v>340.91</v>
      </c>
      <c r="AC8" s="5">
        <v>340.91</v>
      </c>
      <c r="AD8" s="8" t="s">
        <v>0</v>
      </c>
      <c r="AE8" s="7" t="s">
        <v>0</v>
      </c>
      <c r="AF8" s="8">
        <f>(17)</f>
        <v>17</v>
      </c>
      <c r="AG8" s="8">
        <f>(25.5)</f>
        <v>25.5</v>
      </c>
      <c r="AH8" s="9">
        <f t="shared" si="22"/>
        <v>0</v>
      </c>
      <c r="AI8" s="9">
        <f t="shared" si="23"/>
        <v>0</v>
      </c>
      <c r="AJ8" s="9">
        <f t="shared" ca="1" si="24"/>
        <v>0</v>
      </c>
      <c r="AK8" s="18" t="s">
        <v>9</v>
      </c>
      <c r="AL8" s="8">
        <f t="shared" si="25"/>
        <v>-155.79900000000001</v>
      </c>
      <c r="AM8" s="8">
        <f t="shared" si="26"/>
        <v>155.79900000000001</v>
      </c>
      <c r="AN8" s="9">
        <f ca="1">(AR4*L18+AO8)*-1</f>
        <v>0</v>
      </c>
      <c r="AO8" s="9">
        <f>(BA14+BD14+BC14+AW14-AW4)*(L18*-1)</f>
        <v>0</v>
      </c>
      <c r="AP8" s="9">
        <f t="shared" ca="1" si="27"/>
        <v>0</v>
      </c>
      <c r="AQ8" s="8" t="s">
        <v>0</v>
      </c>
      <c r="AR8" s="8">
        <f>(5004)</f>
        <v>5004</v>
      </c>
      <c r="AS8" s="8">
        <f>(5004)</f>
        <v>5004</v>
      </c>
      <c r="AT8" s="8">
        <f t="shared" si="28"/>
        <v>0</v>
      </c>
      <c r="AU8" s="8">
        <f t="shared" si="29"/>
        <v>0</v>
      </c>
      <c r="AV8" s="8">
        <f>(0)</f>
        <v>0</v>
      </c>
      <c r="AW8" s="8">
        <f t="shared" si="30"/>
        <v>5004</v>
      </c>
      <c r="AX8" s="9">
        <f>COUNTIF(I26,"Yok")*(0)
+COUNTIF(I26,"Cenaze Yardımı (Anne-Baba)")*($CN$2)
+COUNTIF(I26,"Cenaze Yardımı (Eş-Çocuk)")*($CN$3)
+COUNTIF(I26,"Cenaze Yardımı (İşçi-Tabii Sebepler Sonucu)")*($CN$4)
+COUNTIF(I26,"Eğitim Yardımı (Çocuk-İlköğretim)")*($CN$5)
+COUNTIF(I26,"Eğitim Yardımı (Çocuk-Ortaöğretim)")*($CN$6)
+COUNTIF(I26,"Eğitim Yardımı (Çocuk-Lise)")*($CN$7)
+COUNTIF(I26,"Eğitim Yardımı (Çocuk-Yükseköğretim)")*($CN$8)
+COUNTIF(I26,"Evlilik Yardımı")*($CN$9)
+COUNTIF(I26,"İş Kazası veya Meslek Hastalığı Tazminatı")*($CN$10)
+COUNTIF(J26,"Yok")*(0)
+COUNTIF(J26,"Cenaze Yardımı (Anne-Baba)")*($CN$2)
+COUNTIF(J26,"Cenaze Yardımı (Eş-Çocuk)")*($CN$3)
+COUNTIF(J26,"Cenaze Yardımı (İşçi-Tabii Sebepler Sonucu)")*($CN$4)
+COUNTIF(J26,"Eğitim Yardımı (Çocuk-İlköğretim)")*($CN$5)
+COUNTIF(J26,"Eğitim Yardımı (Çocuk-Ortaöğretim)")*($CN$6)
+COUNTIF(J26,"Eğitim Yardımı (Çocuk-Lise)")*($CN$7)
+COUNTIF(J26,"Eğitim Yardımı (Çocuk-Yükseköğretim)")*($CN$8)
+COUNTIF(J26,"Evlilik Yardımı")*($CN$9)
+COUNTIF(J26,"İş Kazası veya Meslek Hastalığı Tazminatı")*($CN$10)
+COUNTIF(K26,"Yok")*(0)
+COUNTIF(K26,"Cenaze Yardımı (Anne-Baba)")*($CN$2)
+COUNTIF(K26,"Cenaze Yardımı (Eş-Çocuk)")*($CN$3)
+COUNTIF(K26,"Cenaze Yardımı (İşçi-Tabii Sebepler Sonucu)")*($CN$4)
+COUNTIF(K26,"Eğitim Yardımı (Çocuk-İlköğretim)")*($CN$5)
+COUNTIF(K26,"Eğitim Yardımı (Çocuk-Ortaöğretim)")*($CN$6)
+COUNTIF(K26,"Eğitim Yardımı (Çocuk-Lise)")*($CN$7)
+COUNTIF(K26,"Eğitim Yardımı (Çocuk-Yükseköğretim)")*($CN$8)
+COUNTIF(K26,"Evlilik Yardımı")*($CN$9)
+COUNTIF(K26,"İş Kazası veya Meslek Hastalığı Tazminatı")*($CN$10)</f>
        <v>0</v>
      </c>
      <c r="AY8" s="9">
        <f>COUNTIF(I26,"Yok")*(0)
+COUNTIF(I26,"Cenaze Yardımı (Anne-Baba)")*($CN$2)
+COUNTIF(I26,"Cenaze Yardımı (Eş-Çocuk)")*($CN$3)
+COUNTIF(I26,"Cenaze Yardımı (İşçi-Tabii Sebepler Sonucu)")*($CN$4)
+COUNTIF(I26,"Eğitim Yardımı (Çocuk-İlköğretim)")*($CN$5)
+COUNTIF(I26,"Eğitim Yardımı (Çocuk-Ortaöğretim)")*($CN$6)
+COUNTIF(I26,"Eğitim Yardımı (Çocuk-Lise)")*($CN$7)
+COUNTIF(I26,"Eğitim Yardımı (Çocuk-Yükseköğretim)")*($CN$8)
+COUNTIF(I26,"Evlilik Yardımı")*($CN$9)
+COUNTIF(I26,"İş Kazası veya Meslek Hastalığı Tazminatı")*($CN$10)
+COUNTIF(J26,"Yok")*(0)
+COUNTIF(J26,"Cenaze Yardımı (Anne-Baba)")*($CN$2)
+COUNTIF(J26,"Cenaze Yardımı (Eş-Çocuk)")*($CN$3)
+COUNTIF(J26,"Cenaze Yardımı (İşçi-Tabii Sebepler Sonucu)")*($CN$4)
+COUNTIF(J26,"Eğitim Yardımı (Çocuk-İlköğretim)")*($CN$5)
+COUNTIF(J26,"Eğitim Yardımı (Çocuk-Ortaöğretim)")*($CN$6)
+COUNTIF(J26,"Eğitim Yardımı (Çocuk-Lise)")*($CN$7)
+COUNTIF(J26,"Eğitim Yardımı (Çocuk-Yükseköğretim)")*($CN$8)
+COUNTIF(J26,"Evlilik Yardımı")*($CN$9)
+COUNTIF(J26,"İş Kazası veya Meslek Hastalığı Tazminatı")*($CN$10)
+COUNTIF(K26,"Yok")*(0)
+COUNTIF(K26,"Cenaze Yardımı (Anne-Baba)")*($CN$2)
+COUNTIF(K26,"Cenaze Yardımı (Eş-Çocuk)")*($CN$3)
+COUNTIF(K26,"Cenaze Yardımı (İşçi-Tabii Sebepler Sonucu)")*($CN$4)
+COUNTIF(K26,"Eğitim Yardımı (Çocuk-İlköğretim)")*($CN$5)
+COUNTIF(K26,"Eğitim Yardımı (Çocuk-Ortaöğretim)")*($CN$6)
+COUNTIF(K26,"Eğitim Yardımı (Çocuk-Lise)")*($CN$7)
+COUNTIF(K26,"Eğitim Yardımı (Çocuk-Yükseköğretim)")*($CN$8)
+COUNTIF(K26,"Evlilik Yardımı")*($CN$9)
+COUNTIF(K26,"İş Kazası veya Meslek Hastalığı Tazminatı")*($CN$10)</f>
        <v>0</v>
      </c>
      <c r="AZ8" s="9">
        <f ca="1">COUNTIF(I26,"Yok")*(0)
+COUNTIF(I26,"Cenaze Yardımı (Anne-Baba)")*($CN$2-$CN$2*0.00759)
+COUNTIF(I26,"Cenaze Yardımı (Eş-Çocuk)")*($CN$3-$CN$3*0.00759)
+COUNTIF(I26,"Cenaze Yardımı (İşçi-Tabii Sebepler Sonucu)")*($CN$4-$CN$4*0.00759)
+COUNTIF(I26,"Eğitim Yardımı (Çocuk-İlköğretim)")*($CN$5*CE13)
+COUNTIF(I26,"Eğitim Yardımı (Çocuk-Ortaöğretim)")*($CN$6*CE13)
+COUNTIF(I26,"Eğitim Yardımı (Çocuk-Lise)")*($CN$7*CE13)
+COUNTIF(I26,"Eğitim Yardımı (Çocuk-Yükseköğretim)")*($CN$8*CE13)
+COUNTIF(I26,"Evlilik Yardımı")*($CN$9-$CN$9*0.00759)
+COUNTIF(I26,"İş Kazası veya Meslek Hastalığı Tazminatı")*($CN$10-$CN$10*0.00759)
+COUNTIF(J26,"Yok")*(0)
+COUNTIF(J26,"Cenaze Yardımı (Anne-Baba)")*($CN$2-$CN$2*0.00759)
+COUNTIF(J26,"Cenaze Yardımı (Eş-Çocuk)")*($CN$3-$CN$3*0.00759)
+COUNTIF(J26,"Cenaze Yardımı (İşçi-Tabii Sebepler Sonucu)")*($CN$4-$CN$4*0.00759)
+COUNTIF(J26,"Eğitim Yardımı (Çocuk-İlköğretim)")*($CN$5*CE13)
+COUNTIF(J26,"Eğitim Yardımı (Çocuk-Ortaöğretim)")*($CN$6*CE13)
+COUNTIF(J26,"Eğitim Yardımı (Çocuk-Lise)")*($CN$7*CE13)
+COUNTIF(J26,"Eğitim Yardımı (Çocuk-Yükseköğretim)")*($CN$8*CE13)
+COUNTIF(J26,"Evlilik Yardımı")*($CN$9-$CN$9*0.00759)
+COUNTIF(J26,"İş Kazası veya Meslek Hastalığı Tazminatı")*($CN$10-$CN$10*0.00759)
+COUNTIF(K26,"Yok")*(0)
+COUNTIF(K26,"Cenaze Yardımı (Anne-Baba)")*($CN$2-$CN$2*0.00759)
+COUNTIF(K26,"Cenaze Yardımı (Eş-Çocuk)")*($CN$3-$CN$3*0.00759)
+COUNTIF(K26,"Cenaze Yardımı (İşçi-Tabii Sebepler Sonucu)")*($CN$4-$CN$4*0.00759)
+COUNTIF(K26,"Eğitim Yardımı (Çocuk-İlköğretim)")*($CN$5*CE13)
+COUNTIF(K26,"Eğitim Yardımı (Çocuk-Ortaöğretim)")*($CN$6*CE13)
+COUNTIF(K26,"Eğitim Yardımı (Çocuk-Lise)")*($CN$7*CE13)
+COUNTIF(K26,"Eğitim Yardımı (Çocuk-Yükseköğretim)")*($CN$8*CE13)
+COUNTIF(K26,"Evlilik Yardımı")*($CN$9-$CN$9*0.00759)
+COUNTIF(K26,"İş Kazası veya Meslek Hastalığı Tazminatı")*($CN$10-$CN$10*0.00759)</f>
        <v>0</v>
      </c>
      <c r="BA8" s="18" t="s">
        <v>9</v>
      </c>
      <c r="BB8" s="8">
        <f>COUNTIF(BA8,"Var")*(AN22*0.9*-1)</f>
        <v>-194.13</v>
      </c>
      <c r="BC8" s="8">
        <f>(BB8*-1)</f>
        <v>194.13</v>
      </c>
      <c r="BD8" s="8">
        <f t="shared" ref="BD8:BF8" ca="1" si="42">(BD7/12)</f>
        <v>0</v>
      </c>
      <c r="BE8" s="8">
        <f t="shared" si="42"/>
        <v>0</v>
      </c>
      <c r="BF8" s="8">
        <f t="shared" ca="1" si="42"/>
        <v>0</v>
      </c>
      <c r="BG8" s="8" t="s">
        <v>0</v>
      </c>
      <c r="BH8" s="8">
        <f t="shared" ref="BH8" si="43">(BH7/12)</f>
        <v>5737.5</v>
      </c>
      <c r="BI8" s="8">
        <f t="shared" ref="BI8" si="44">(BI7/12)</f>
        <v>5737.5</v>
      </c>
      <c r="BJ8" s="8">
        <f t="shared" ref="BJ8" si="45">(BJ7/12)</f>
        <v>0</v>
      </c>
      <c r="BK8" s="8">
        <f t="shared" ref="BK8" si="46">(BK7/12)</f>
        <v>0</v>
      </c>
      <c r="BL8" s="8">
        <f t="shared" ref="BL8" si="47">(BL7/12)</f>
        <v>0</v>
      </c>
      <c r="BM8" s="8">
        <f t="shared" ref="BM8" si="48">(BM7/12)</f>
        <v>5737.5</v>
      </c>
      <c r="BN8" s="8">
        <f t="shared" ref="BN8" si="49">(BN7/12)</f>
        <v>-803.25000000000034</v>
      </c>
      <c r="BO8" s="8">
        <f t="shared" ref="BO8" si="50">(BO7/12)</f>
        <v>-57.375000000000021</v>
      </c>
      <c r="BQ8" s="8">
        <f ca="1">(AU15+AX15+BA15+BD15+BC15+AW15+BG23+BM23+BP23+BS23+AH9)</f>
        <v>7682.7200000000012</v>
      </c>
      <c r="BR8" s="8">
        <f ca="1">(AU15+AX15+BA15+BD15+BC15+AW15+BG23+BM23+BP23+BS23+AH9)</f>
        <v>7682.7200000000012</v>
      </c>
      <c r="BS8" s="8">
        <f t="shared" ref="BS8:BS14" ca="1" si="51">(BR8*0.00759*-1)</f>
        <v>-58.31184480000001</v>
      </c>
      <c r="BT8" s="8">
        <f>(AS9)</f>
        <v>5004</v>
      </c>
      <c r="BU8" s="8">
        <f t="shared" ref="BU8:BU14" si="52">(BT8*0.00759*-1)</f>
        <v>-37.980360000000005</v>
      </c>
      <c r="BV8" s="8">
        <f t="shared" ref="BV8:BV14" ca="1" si="53">(BR8-BT8)</f>
        <v>2678.7200000000012</v>
      </c>
      <c r="BW8" s="8">
        <f t="shared" ref="BW8:BW14" ca="1" si="54">(BV8*0.00759*-1)</f>
        <v>-20.331484800000009</v>
      </c>
      <c r="BX8" s="8">
        <f t="shared" ref="BX8:BX14" ca="1" si="55">(BW8)</f>
        <v>-20.331484800000009</v>
      </c>
      <c r="BY8" s="8">
        <f>(BJ9+BJ23+BU23+AI9)</f>
        <v>260.26</v>
      </c>
      <c r="BZ8" s="8">
        <f t="shared" ref="BZ8:BZ14" ca="1" si="56">(BR8-BY8)</f>
        <v>7422.4600000000009</v>
      </c>
      <c r="CA8" s="8">
        <f ca="1">IF(BZ8&gt;=AR9*7.5,AR9*7.5,BZ8)</f>
        <v>7422.4600000000009</v>
      </c>
      <c r="CG8" s="8" t="s">
        <v>0</v>
      </c>
      <c r="CH8" s="8">
        <f t="shared" ca="1" si="31"/>
        <v>9051.85</v>
      </c>
      <c r="CI8" s="8">
        <f t="shared" ca="1" si="8"/>
        <v>1855.62925</v>
      </c>
      <c r="CJ8" s="8">
        <f t="shared" ca="1" si="9"/>
        <v>90.518500000000003</v>
      </c>
      <c r="CK8" s="8">
        <f t="shared" ca="1" si="10"/>
        <v>-452.59250000000003</v>
      </c>
      <c r="CL8" s="8">
        <f t="shared" ca="1" si="11"/>
        <v>10545.40525</v>
      </c>
      <c r="CM8" s="17" t="s">
        <v>66</v>
      </c>
      <c r="CN8" s="9">
        <v>229.2</v>
      </c>
      <c r="CO8" s="8">
        <f t="shared" ca="1" si="33"/>
        <v>-1213.3198</v>
      </c>
      <c r="CP8" s="8">
        <f t="shared" ca="1" si="34"/>
        <v>-86.665700000000001</v>
      </c>
      <c r="CQ8" s="8">
        <f>(BN11+BK25+AI11+AM11)</f>
        <v>194.13</v>
      </c>
      <c r="CR8" s="8">
        <f t="shared" ca="1" si="35"/>
        <v>7508.8945000000003</v>
      </c>
      <c r="CS8" s="8">
        <f ca="1">SUM($CR$2:CR8)</f>
        <v>54040.083500000001</v>
      </c>
      <c r="CT8" s="12">
        <f t="shared" ca="1" si="12"/>
        <v>0.2</v>
      </c>
      <c r="CU8" s="18">
        <f t="shared" ca="1" si="15"/>
        <v>0</v>
      </c>
      <c r="CV8" s="19">
        <f t="shared" ca="1" si="13"/>
        <v>0.2</v>
      </c>
      <c r="CW8" s="8">
        <f t="shared" ca="1" si="20"/>
        <v>-1501.78</v>
      </c>
      <c r="CX8" s="8">
        <f t="shared" si="14"/>
        <v>825.05</v>
      </c>
      <c r="CY8" s="8">
        <f t="shared" ca="1" si="16"/>
        <v>-676.73</v>
      </c>
      <c r="CZ8" s="19">
        <f t="shared" si="17"/>
        <v>0.84240999999999999</v>
      </c>
      <c r="DA8" s="19">
        <f t="shared" ca="1" si="18"/>
        <v>0.67240999999999995</v>
      </c>
      <c r="DB8" s="19">
        <f t="shared" ca="1" si="19"/>
        <v>0.79240999999999995</v>
      </c>
      <c r="DC8" s="7">
        <v>6</v>
      </c>
      <c r="DD8" s="20">
        <v>3</v>
      </c>
      <c r="DE8" s="21">
        <v>0.08</v>
      </c>
      <c r="DF8" s="22"/>
    </row>
    <row r="9" spans="1:110" ht="39.950000000000003" customHeight="1" x14ac:dyDescent="0.25">
      <c r="A9" s="60"/>
      <c r="B9" s="61"/>
      <c r="C9" s="59"/>
      <c r="D9" s="59"/>
      <c r="E9" s="62"/>
      <c r="F9" s="62"/>
      <c r="G9" s="59"/>
      <c r="H9" s="59"/>
      <c r="I9" s="59"/>
      <c r="J9" s="59"/>
      <c r="K9" s="59"/>
      <c r="L9" s="59"/>
      <c r="M9" s="59"/>
      <c r="N9" s="59"/>
      <c r="O9" s="73"/>
      <c r="P9" s="1" t="s">
        <v>35</v>
      </c>
      <c r="Q9" s="2">
        <f t="shared" ca="1" si="21"/>
        <v>0</v>
      </c>
      <c r="R9" s="2">
        <f ca="1">COUNTIF(S1,"Ocak")*(AJ5)
+COUNTIF(S1,"Şubat")*(AJ6)
+COUNTIF(S1,"Mart")*(AJ7)
+COUNTIF(S1,"Nisan")*(AJ8)
+COUNTIF(S1,"Mayıs")*(AJ9)
+COUNTIF(S1,"Haziran")*(AJ10)
+COUNTIF(S1,"Temmuz")*(AJ11)
+COUNTIF(S1,"Ağustos")*(AJ12)
+COUNTIF(S1,"Eylül")*(AZ5)
+COUNTIF(S1,"Ekim")*(AZ6)
+COUNTIF(S1,"Kasım")*(AZ7)
+COUNTIF(S1,"Aralık")*(AZ8)
+COUNTIF(S1,"Yıllık Toplam")*(AZ9)
+COUNTIF(S1,"Yıllık Ortalama")*(AZ10)</f>
        <v>0</v>
      </c>
      <c r="S9" s="68"/>
      <c r="T9" s="72"/>
      <c r="U9" s="15" t="s">
        <v>38</v>
      </c>
      <c r="V9" s="16" t="s">
        <v>104</v>
      </c>
      <c r="W9" s="74"/>
      <c r="X9" s="75"/>
      <c r="Y9" s="64"/>
      <c r="Z9" s="63"/>
      <c r="AA9" s="25" t="s">
        <v>82</v>
      </c>
      <c r="AB9" s="5">
        <v>303.62</v>
      </c>
      <c r="AC9" s="5">
        <v>303.62</v>
      </c>
      <c r="AD9" s="6">
        <f>(6%)</f>
        <v>0.06</v>
      </c>
      <c r="AE9" s="7" t="s">
        <v>0</v>
      </c>
      <c r="AF9" s="26">
        <f>(10.01)</f>
        <v>10.01</v>
      </c>
      <c r="AG9" s="26">
        <f>(12.94)</f>
        <v>12.94</v>
      </c>
      <c r="AH9" s="9">
        <f t="shared" si="22"/>
        <v>0</v>
      </c>
      <c r="AI9" s="9">
        <f t="shared" si="23"/>
        <v>0</v>
      </c>
      <c r="AJ9" s="9">
        <f t="shared" ca="1" si="24"/>
        <v>0</v>
      </c>
      <c r="AK9" s="18" t="s">
        <v>9</v>
      </c>
      <c r="AL9" s="8">
        <f t="shared" si="25"/>
        <v>-155.79900000000001</v>
      </c>
      <c r="AM9" s="8">
        <f t="shared" si="26"/>
        <v>155.79900000000001</v>
      </c>
      <c r="AN9" s="9">
        <f ca="1">(CA8*L19+AO9)*-1</f>
        <v>0</v>
      </c>
      <c r="AO9" s="9">
        <f>(BA15+BD15+BC15+AW15-BJ9)*(L19*-1)</f>
        <v>0</v>
      </c>
      <c r="AP9" s="9">
        <f t="shared" ca="1" si="27"/>
        <v>0</v>
      </c>
      <c r="AQ9" s="8" t="s">
        <v>0</v>
      </c>
      <c r="AR9" s="8">
        <f>(5004)</f>
        <v>5004</v>
      </c>
      <c r="AS9" s="8">
        <f>(5004)</f>
        <v>5004</v>
      </c>
      <c r="AT9" s="8">
        <f t="shared" si="28"/>
        <v>0</v>
      </c>
      <c r="AU9" s="8">
        <f t="shared" si="29"/>
        <v>0</v>
      </c>
      <c r="AV9" s="8">
        <f>(0)</f>
        <v>0</v>
      </c>
      <c r="AW9" s="8">
        <f t="shared" si="30"/>
        <v>5004</v>
      </c>
      <c r="AX9" s="8">
        <f>(AH5+AH6+AH7+AH8+AH9+AH10+AH11+AH12+AX5+AX6+AX7+AX8)</f>
        <v>0</v>
      </c>
      <c r="AY9" s="8">
        <f>(AI5+AI6+AI7+AI8+AI9+AI10+AI11+AI12+AY5+AY6+AY7+AY8)</f>
        <v>0</v>
      </c>
      <c r="AZ9" s="8">
        <f ca="1">(AJ5+AJ6+AJ7+AJ8+AJ9+AJ10+AJ11+AJ12+AZ5+AZ6+AZ7+AZ8)</f>
        <v>0</v>
      </c>
      <c r="BA9" s="24" t="s">
        <v>0</v>
      </c>
      <c r="BB9" s="8">
        <f>(AL5+AL6+AL7+AL8+AL9+AL10+AL11+AL12+BB5+BB6+BB7+BB8)</f>
        <v>-2099.5740000000005</v>
      </c>
      <c r="BC9" s="8">
        <f>(AM5+AM6+AM7+AM8+AM9+AM10+AM11+AM12+BC5+BC6+BC7+BC8)</f>
        <v>2099.5740000000005</v>
      </c>
      <c r="BF9" s="8">
        <f t="shared" ref="BF9:BF16" ca="1" si="57">(BH9+BI9+BL9+BM9+BP9)</f>
        <v>907.43193430570511</v>
      </c>
      <c r="BG9" s="8">
        <f t="shared" ref="BG9:BG16" si="58">(AW15)</f>
        <v>1269.8400000000001</v>
      </c>
      <c r="BH9" s="8">
        <f t="shared" ref="BH9:BH16" si="59">(AW15)</f>
        <v>1269.8400000000001</v>
      </c>
      <c r="BI9" s="8">
        <f t="shared" ref="BI9:BI16" si="60">(BH9*0.00759*-1)</f>
        <v>-9.6380856000000019</v>
      </c>
      <c r="BJ9" s="8">
        <f>(10.01*G19)</f>
        <v>260.26</v>
      </c>
      <c r="BK9" s="8">
        <f t="shared" ref="BK9:BK16" si="61">(BH9-BJ9)</f>
        <v>1009.5800000000002</v>
      </c>
      <c r="BL9" s="8">
        <f t="shared" ref="BL9:BL16" si="62">(BK9*0.14*-1)</f>
        <v>-141.34120000000004</v>
      </c>
      <c r="BM9" s="8">
        <f t="shared" ref="BM9:BM16" si="63">(BK9*0.01*-1)</f>
        <v>-10.095800000000002</v>
      </c>
      <c r="BN9" s="8">
        <f>(0)</f>
        <v>0</v>
      </c>
      <c r="BO9" s="8">
        <f t="shared" ref="BO9:BO16" si="64">(BH9+BL9+BM9-BN9)</f>
        <v>1118.403</v>
      </c>
      <c r="BP9" s="8">
        <f t="shared" ref="BP9:BP16" ca="1" si="65">(BO9*CV6*-1)</f>
        <v>-201.33298009429484</v>
      </c>
      <c r="BQ9" s="8">
        <f ca="1">(AU16+AX16+BA16+BD16+BC16+AW16+BG24+BM24+BP24+BS24+AH10)</f>
        <v>12702.91</v>
      </c>
      <c r="BR9" s="8">
        <f ca="1">(AU16+AX16+BA16+BD16+BC16+AW16+BG24+BM24+BP24+BS24+AH10)</f>
        <v>12702.91</v>
      </c>
      <c r="BS9" s="8">
        <f t="shared" ca="1" si="51"/>
        <v>-96.415086900000006</v>
      </c>
      <c r="BT9" s="8">
        <f>(AS10)</f>
        <v>5004</v>
      </c>
      <c r="BU9" s="8">
        <f t="shared" si="52"/>
        <v>-37.980360000000005</v>
      </c>
      <c r="BV9" s="8">
        <f t="shared" ca="1" si="53"/>
        <v>7698.91</v>
      </c>
      <c r="BW9" s="8">
        <f t="shared" ca="1" si="54"/>
        <v>-58.434726900000001</v>
      </c>
      <c r="BX9" s="8">
        <f t="shared" ca="1" si="55"/>
        <v>-58.434726900000001</v>
      </c>
      <c r="BY9" s="8">
        <f>(BJ10+BJ24+BU24+AI10)</f>
        <v>260.26</v>
      </c>
      <c r="BZ9" s="8">
        <f t="shared" ca="1" si="56"/>
        <v>12442.65</v>
      </c>
      <c r="CA9" s="8">
        <f ca="1">IF(BZ9&gt;=AR10*7.5,AR10*7.5,BZ9)</f>
        <v>12442.65</v>
      </c>
      <c r="CB9" s="8">
        <f>(CH23)</f>
        <v>1051.1099999999999</v>
      </c>
      <c r="CC9" s="8">
        <f ca="1">(CW9+CB9)</f>
        <v>-459.36000000000013</v>
      </c>
      <c r="CD9" s="19">
        <f t="shared" si="17"/>
        <v>0.84240999999999999</v>
      </c>
      <c r="CE9" s="19">
        <f ca="1">(100+(100*0.00759*-1)+(100*0.14*-1)+(100*0.01*-1)+(100+100*0.14*-1+100*0.01*-1)*CV9*-1)/100</f>
        <v>0.67240999999999995</v>
      </c>
      <c r="CF9" s="19">
        <f ca="1">(100+(100*0.00759*-1)+(100)*CV9*-1)/100</f>
        <v>0.79240999999999995</v>
      </c>
      <c r="CG9" s="8" t="s">
        <v>0</v>
      </c>
      <c r="CH9" s="8">
        <f t="shared" ca="1" si="31"/>
        <v>15258.31</v>
      </c>
      <c r="CI9" s="8">
        <f t="shared" ca="1" si="8"/>
        <v>3127.9535499999997</v>
      </c>
      <c r="CJ9" s="8">
        <f t="shared" ca="1" si="9"/>
        <v>152.5831</v>
      </c>
      <c r="CK9" s="8">
        <f t="shared" ca="1" si="10"/>
        <v>-762.91550000000007</v>
      </c>
      <c r="CL9" s="8">
        <f t="shared" ca="1" si="11"/>
        <v>17775.93115</v>
      </c>
      <c r="CM9" s="17" t="s">
        <v>8</v>
      </c>
      <c r="CN9" s="9">
        <v>229.2</v>
      </c>
      <c r="CO9" s="8">
        <f t="shared" ca="1" si="33"/>
        <v>-1218.3458000000003</v>
      </c>
      <c r="CP9" s="8">
        <f t="shared" ca="1" si="34"/>
        <v>-87.02470000000001</v>
      </c>
      <c r="CQ9" s="8">
        <f>(BN12+BU1+AI12+AM12)</f>
        <v>194.13</v>
      </c>
      <c r="CR9" s="8">
        <f t="shared" ca="1" si="35"/>
        <v>7552.3495000000003</v>
      </c>
      <c r="CS9" s="8">
        <f ca="1">SUM($CR$2:CR9)</f>
        <v>61592.433000000005</v>
      </c>
      <c r="CT9" s="12">
        <f t="shared" ca="1" si="12"/>
        <v>0.2</v>
      </c>
      <c r="CU9" s="18">
        <f t="shared" ca="1" si="15"/>
        <v>0</v>
      </c>
      <c r="CV9" s="19">
        <f t="shared" ca="1" si="13"/>
        <v>0.2</v>
      </c>
      <c r="CW9" s="8">
        <f t="shared" ca="1" si="20"/>
        <v>-1510.47</v>
      </c>
      <c r="DC9" s="7">
        <v>7</v>
      </c>
      <c r="DD9" s="20">
        <v>3.5</v>
      </c>
      <c r="DE9" s="21">
        <v>0.09</v>
      </c>
      <c r="DF9" s="22"/>
    </row>
    <row r="10" spans="1:110" ht="39.950000000000003" customHeight="1" x14ac:dyDescent="0.25">
      <c r="A10" s="60"/>
      <c r="B10" s="61"/>
      <c r="C10" s="59"/>
      <c r="D10" s="59"/>
      <c r="E10" s="62"/>
      <c r="F10" s="62"/>
      <c r="G10" s="59"/>
      <c r="H10" s="59"/>
      <c r="I10" s="59"/>
      <c r="J10" s="59"/>
      <c r="K10" s="59"/>
      <c r="L10" s="59"/>
      <c r="M10" s="59"/>
      <c r="N10" s="59"/>
      <c r="O10" s="73"/>
      <c r="P10" s="1" t="s">
        <v>36</v>
      </c>
      <c r="Q10" s="2">
        <f t="shared" si="21"/>
        <v>2099.5740000000005</v>
      </c>
      <c r="R10" s="2">
        <f>COUNTIF(S1,"Ocak")*(AL5)*-1
+COUNTIF(S1,"Şubat")*(AL6)*-1
+COUNTIF(S1,"Mart")*(AL7)*-1
+COUNTIF(S1,"Nisan")*(AL8)*-1
+COUNTIF(S1,"Mayıs")*(AL9)*-1
+COUNTIF(S1,"Haziran")*(AL10)*-1
+COUNTIF(S1,"Temmuz")*(AL11)*-1
+COUNTIF(S1,"Ağustos")*(AL12)*-1
+COUNTIF(S1,"Eylül")*(BB5)*-1
+COUNTIF(S1,"Ekim")*(BB6)*-1
+COUNTIF(S1,"Kasım")*(BB7)*-1
+COUNTIF(S1,"Aralık")*(BB8)*-1
+COUNTIF(S1,"Yıllık Toplam")*(BB9)*-1
+COUNTIF(S1,"Yıllık Ortalama")*(BB10)*-1</f>
        <v>2099.5740000000005</v>
      </c>
      <c r="S10" s="68"/>
      <c r="T10" s="72"/>
      <c r="U10" s="15" t="s">
        <v>44</v>
      </c>
      <c r="V10" s="23" t="s">
        <v>98</v>
      </c>
      <c r="W10" s="74"/>
      <c r="X10" s="75"/>
      <c r="Y10" s="64"/>
      <c r="Z10" s="63"/>
      <c r="AA10" s="25" t="s">
        <v>83</v>
      </c>
      <c r="AB10" s="5">
        <v>251.31</v>
      </c>
      <c r="AC10" s="5">
        <v>251.31</v>
      </c>
      <c r="AD10" s="8" t="s">
        <v>0</v>
      </c>
      <c r="AE10" s="7" t="s">
        <v>0</v>
      </c>
      <c r="AF10" s="8">
        <f>(34)</f>
        <v>34</v>
      </c>
      <c r="AG10" s="8">
        <f>(51)</f>
        <v>51</v>
      </c>
      <c r="AH10" s="9">
        <f t="shared" si="22"/>
        <v>0</v>
      </c>
      <c r="AI10" s="9">
        <f t="shared" si="23"/>
        <v>0</v>
      </c>
      <c r="AJ10" s="9">
        <f t="shared" ca="1" si="24"/>
        <v>0</v>
      </c>
      <c r="AK10" s="18" t="s">
        <v>9</v>
      </c>
      <c r="AL10" s="8">
        <f t="shared" si="25"/>
        <v>-155.79900000000001</v>
      </c>
      <c r="AM10" s="8">
        <f t="shared" si="26"/>
        <v>155.79900000000001</v>
      </c>
      <c r="AN10" s="9">
        <f ca="1">(CA9*L20+AO10)*-1</f>
        <v>0</v>
      </c>
      <c r="AO10" s="9">
        <f>(BA16+BD16+BC16+AW16-BJ10)*(L20*-1)</f>
        <v>0</v>
      </c>
      <c r="AP10" s="9">
        <f t="shared" ca="1" si="27"/>
        <v>0</v>
      </c>
      <c r="AQ10" s="8" t="s">
        <v>0</v>
      </c>
      <c r="AR10" s="8">
        <f>(5004)</f>
        <v>5004</v>
      </c>
      <c r="AS10" s="8">
        <f>(5004)</f>
        <v>5004</v>
      </c>
      <c r="AT10" s="8">
        <f t="shared" si="28"/>
        <v>0</v>
      </c>
      <c r="AU10" s="8">
        <f t="shared" si="29"/>
        <v>0</v>
      </c>
      <c r="AV10" s="8">
        <f>(0)</f>
        <v>0</v>
      </c>
      <c r="AW10" s="8">
        <f t="shared" si="30"/>
        <v>5004</v>
      </c>
      <c r="AX10" s="8">
        <f t="shared" ref="AX10" si="66">AX9/12</f>
        <v>0</v>
      </c>
      <c r="AY10" s="8">
        <f t="shared" ref="AY10" si="67">AY9/12</f>
        <v>0</v>
      </c>
      <c r="AZ10" s="8">
        <f t="shared" ref="AZ10" ca="1" si="68">AZ9/12</f>
        <v>0</v>
      </c>
      <c r="BA10" s="24" t="s">
        <v>0</v>
      </c>
      <c r="BB10" s="8">
        <f t="shared" ref="BB10:BC10" si="69">(BB9/12)</f>
        <v>-174.96450000000004</v>
      </c>
      <c r="BC10" s="8">
        <f t="shared" si="69"/>
        <v>174.96450000000004</v>
      </c>
      <c r="BF10" s="8">
        <f t="shared" ca="1" si="57"/>
        <v>885.08431439999993</v>
      </c>
      <c r="BG10" s="8">
        <f t="shared" si="58"/>
        <v>1269.8400000000001</v>
      </c>
      <c r="BH10" s="8">
        <f t="shared" si="59"/>
        <v>1269.8400000000001</v>
      </c>
      <c r="BI10" s="8">
        <f t="shared" si="60"/>
        <v>-9.6380856000000019</v>
      </c>
      <c r="BJ10" s="8">
        <f>(10.01*G20)</f>
        <v>260.26</v>
      </c>
      <c r="BK10" s="8">
        <f t="shared" si="61"/>
        <v>1009.5800000000002</v>
      </c>
      <c r="BL10" s="8">
        <f t="shared" si="62"/>
        <v>-141.34120000000004</v>
      </c>
      <c r="BM10" s="8">
        <f t="shared" si="63"/>
        <v>-10.095800000000002</v>
      </c>
      <c r="BN10" s="8">
        <f>(0)</f>
        <v>0</v>
      </c>
      <c r="BO10" s="8">
        <f t="shared" si="64"/>
        <v>1118.403</v>
      </c>
      <c r="BP10" s="8">
        <f t="shared" ca="1" si="65"/>
        <v>-223.68060000000003</v>
      </c>
      <c r="BQ10" s="8">
        <f ca="1">(AU17+AX17+BA17+BD17+BC17+AW17+BG25+BM25+BP25+BS25+AH11)</f>
        <v>9003.01</v>
      </c>
      <c r="BR10" s="8">
        <f ca="1">(AU17+AX17+BA17+BD17+BC17+AW17+BG25+BM25+BP25+BS25+AH11)</f>
        <v>9003.01</v>
      </c>
      <c r="BS10" s="8">
        <f t="shared" ca="1" si="51"/>
        <v>-68.332845900000009</v>
      </c>
      <c r="BT10" s="8">
        <f>(BI1)</f>
        <v>6471</v>
      </c>
      <c r="BU10" s="8">
        <f t="shared" si="52"/>
        <v>-49.114890000000003</v>
      </c>
      <c r="BV10" s="8">
        <f t="shared" ca="1" si="53"/>
        <v>2532.0100000000002</v>
      </c>
      <c r="BW10" s="8">
        <f t="shared" ca="1" si="54"/>
        <v>-19.217955900000003</v>
      </c>
      <c r="BX10" s="8">
        <f t="shared" ca="1" si="55"/>
        <v>-19.217955900000003</v>
      </c>
      <c r="BY10" s="8">
        <f>(BJ11+BJ25+BU25+AI11)</f>
        <v>336.44</v>
      </c>
      <c r="BZ10" s="8">
        <f t="shared" ca="1" si="56"/>
        <v>8666.57</v>
      </c>
      <c r="CA10" s="8">
        <f ca="1">IF(BZ10&gt;=BH1*7.5,BH1*7.5,BZ10)</f>
        <v>8666.57</v>
      </c>
      <c r="CB10" s="8">
        <f>(CH24)</f>
        <v>1100.07</v>
      </c>
      <c r="CC10" s="8">
        <f ca="1">(CW10+CB10)</f>
        <v>-1774.39</v>
      </c>
      <c r="CD10" s="19">
        <f t="shared" si="17"/>
        <v>0.84240999999999999</v>
      </c>
      <c r="CE10" s="19">
        <f ca="1">(100+(100*0.00759*-1)+(100*0.14*-1)+(100*0.01*-1)+(100+100*0.14*-1+100*0.01*-1)*CV10*-1)/100</f>
        <v>0.65191313085253777</v>
      </c>
      <c r="CF10" s="19">
        <f ca="1">(100+(100*0.00759*-1)+(100)*CV10*-1)/100</f>
        <v>0.7682960362971033</v>
      </c>
      <c r="CG10" s="8" t="s">
        <v>0</v>
      </c>
      <c r="CH10" s="8">
        <f t="shared" ca="1" si="31"/>
        <v>9003.01</v>
      </c>
      <c r="CI10" s="8">
        <f t="shared" ca="1" si="8"/>
        <v>1845.6170499999998</v>
      </c>
      <c r="CJ10" s="8">
        <f t="shared" ca="1" si="9"/>
        <v>90.030100000000004</v>
      </c>
      <c r="CK10" s="8">
        <f t="shared" ca="1" si="10"/>
        <v>-450.15050000000002</v>
      </c>
      <c r="CL10" s="8">
        <f t="shared" ca="1" si="11"/>
        <v>10488.506649999999</v>
      </c>
      <c r="CM10" s="17" t="s">
        <v>34</v>
      </c>
      <c r="CN10" s="9">
        <v>9100</v>
      </c>
      <c r="CO10" s="8">
        <f t="shared" ca="1" si="33"/>
        <v>-2089.0617999999999</v>
      </c>
      <c r="CP10" s="8">
        <f t="shared" ca="1" si="34"/>
        <v>-149.21869999999998</v>
      </c>
      <c r="CQ10" s="8">
        <f>(BN13+BU2+AY5+BC5)</f>
        <v>194.13</v>
      </c>
      <c r="CR10" s="8">
        <f t="shared" ca="1" si="35"/>
        <v>12825.899500000001</v>
      </c>
      <c r="CS10" s="8">
        <f ca="1">SUM($CR$2:CR10)</f>
        <v>74418.332500000004</v>
      </c>
      <c r="CT10" s="12">
        <f t="shared" ca="1" si="12"/>
        <v>0.27</v>
      </c>
      <c r="CU10" s="18">
        <f t="shared" ca="1" si="15"/>
        <v>1</v>
      </c>
      <c r="CV10" s="19">
        <f t="shared" ca="1" si="13"/>
        <v>0.22411396370289666</v>
      </c>
      <c r="CW10" s="8">
        <f t="shared" ca="1" si="20"/>
        <v>-2874.46</v>
      </c>
      <c r="DC10" s="7">
        <v>8</v>
      </c>
      <c r="DD10" s="20">
        <v>4</v>
      </c>
      <c r="DE10" s="21">
        <v>0.1</v>
      </c>
      <c r="DF10" s="22"/>
    </row>
    <row r="11" spans="1:110" ht="39.950000000000003" customHeight="1" x14ac:dyDescent="0.25">
      <c r="A11" s="60"/>
      <c r="B11" s="61"/>
      <c r="C11" s="59"/>
      <c r="D11" s="59"/>
      <c r="E11" s="62"/>
      <c r="F11" s="62"/>
      <c r="G11" s="59"/>
      <c r="H11" s="59"/>
      <c r="I11" s="59"/>
      <c r="J11" s="59"/>
      <c r="K11" s="59"/>
      <c r="L11" s="59"/>
      <c r="M11" s="59"/>
      <c r="N11" s="59"/>
      <c r="O11" s="73"/>
      <c r="P11" s="1" t="s">
        <v>30</v>
      </c>
      <c r="Q11" s="2">
        <f t="shared" ca="1" si="21"/>
        <v>0</v>
      </c>
      <c r="R11" s="2">
        <f ca="1">COUNTIF(S1,"Ocak")*(AP5)*-1
+COUNTIF(S1,"Şubat")*(AP6)*-1
+COUNTIF(S1,"Mart")*(AP7)*-1
+COUNTIF(S1,"Nisan")*(AP8)*-1
+COUNTIF(S1,"Mayıs")*(AP9)*-1
+COUNTIF(S1,"Haziran")*(AP10)*-1
+COUNTIF(S1,"Temmuz")*(BF1)*-1
+COUNTIF(S1,"Ağustos")*(BF2)*-1
+COUNTIF(S1,"Eylül")*(BF3)*-1
+COUNTIF(S1,"Ekim")*(BF4)*-1
+COUNTIF(S1,"Kasım")*(BF5)*-1
+COUNTIF(S1,"Aralık")*(BF6)*-1
+COUNTIF(S1,"Yıllık Toplam")*(BF7)*-1
+COUNTIF(S1,"Yıllık Ortalama")*(BF8)*-1</f>
        <v>0</v>
      </c>
      <c r="S11" s="68"/>
      <c r="T11" s="72"/>
      <c r="U11" s="15" t="s">
        <v>25</v>
      </c>
      <c r="V11" s="16" t="s">
        <v>105</v>
      </c>
      <c r="W11" s="74"/>
      <c r="X11" s="75"/>
      <c r="Y11" s="64"/>
      <c r="Z11" s="63"/>
      <c r="AA11" s="11" t="s">
        <v>84</v>
      </c>
      <c r="AB11" s="5">
        <v>238.03</v>
      </c>
      <c r="AC11" s="5">
        <v>238.03</v>
      </c>
      <c r="AD11" s="24">
        <f>($AD$17*2)</f>
        <v>19000</v>
      </c>
      <c r="AE11" s="7" t="s">
        <v>0</v>
      </c>
      <c r="AF11" s="8">
        <f>($AD$24*$AD$11)</f>
        <v>4473.4549999999999</v>
      </c>
      <c r="AG11" s="8">
        <f>($AE$24*$AD$11)</f>
        <v>6338.4569999999994</v>
      </c>
      <c r="AH11" s="9">
        <f t="shared" si="22"/>
        <v>0</v>
      </c>
      <c r="AI11" s="9">
        <f t="shared" si="23"/>
        <v>0</v>
      </c>
      <c r="AJ11" s="9">
        <f t="shared" ca="1" si="24"/>
        <v>0</v>
      </c>
      <c r="AK11" s="18" t="s">
        <v>9</v>
      </c>
      <c r="AL11" s="8">
        <f t="shared" si="25"/>
        <v>-194.13</v>
      </c>
      <c r="AM11" s="8">
        <f t="shared" si="26"/>
        <v>194.13</v>
      </c>
      <c r="AN11" s="26">
        <f t="shared" ref="AN11:AN16" si="70">COUNTIFS($A$1,"İskele Baş Personeli-Üniversite")*($AB$1)
+COUNTIFS($A$1,"İskele Baş Personeli-MYO")*($AB$2)
+COUNTIFS($A$1,"İskele Baş Personeli-Lise")*($AB$3)
+COUNTIFS($A$1,"Gişe Memuru-Üniversite")*($AB$4)
+COUNTIFS($A$1,"Gişe Memuru-MYO")*($AB$5)
+COUNTIFS($A$1,"Gişe Memuru-Lise")*($AB$6)
+COUNTIFS($A$1,"Bakım Onarım Elektrik-Elektronik Ustası")*($AB$7)
+COUNTIFS($A$1,"Atölye Ustabaşı")*($AB$8)
+COUNTIFS($A$1,"Motor Ustabaşı Yardımcısı")*($AB$9)
+COUNTIFS($A$1,"Motor Teknisyeni")*($AB$10)
+COUNTIFS($A$1,"Elektrik Bakım Onarım Personeli")*($AB$11)
+COUNTIFS($A$1,"Kaynakçı")*($AB$12)
+COUNTIFS($A$1,"Motorcu")*($AB$13)
+COUNTIFS($A$1,"Elektrikçi")*($AB$14)
+COUNTIFS($A$1,"Marangoz")*($AB$15)
+COUNTIFS($A$1,"Marangoz Yardımcısı")*($AB$16)
+COUNTIFS($A$1,"Atölye Personeli")*($AB$17)
+COUNTIFS($A$1,"Ambar Personeli-MYO")*($AB$18)
+COUNTIFS($A$1,"Ambar Personeli-Lise")*($AB$19)
+COUNTIFS($A$1,"İskele Personeli")*($AB$20)
+COUNTIFS($A$1,"Temizlik Personeli")*($AB$21)
+COUNTIFS($A$1,"Güvenlik Personeli")*($AB$22)</f>
        <v>173.11</v>
      </c>
      <c r="AO11" s="26">
        <f t="shared" ref="AO11:AO17" ca="1" si="71">(AN11*DA2)</f>
        <v>123.75807010000001</v>
      </c>
      <c r="AP11" s="26">
        <f t="shared" ref="AP11:AP16" si="72">COUNTIFS($A$1,"İskele Baş Personeli-Üniversite")*($AB$1)
+COUNTIFS($A$1,"İskele Baş Personeli-MYO")*($AB$2)
+COUNTIFS($A$1,"İskele Baş Personeli-Lise")*($AB$3)
+COUNTIFS($A$1,"Gişe Memuru-Üniversite")*($AB$4)
+COUNTIFS($A$1,"Gişe Memuru-MYO")*($AB$5)
+COUNTIFS($A$1,"Gişe Memuru-Lise")*($AB$6)
+COUNTIFS($A$1,"Bakım Onarım Elektrik-Elektronik Ustası")*($AB$7)
+COUNTIFS($A$1,"Atölye Ustabaşı")*($AB$8)
+COUNTIFS($A$1,"Motor Ustabaşı Yardımcısı")*($AB$9)
+COUNTIFS($A$1,"Motor Teknisyeni")*($AB$10)
+COUNTIFS($A$1,"Elektrik Bakım Onarım Personeli")*($AB$11)
+COUNTIFS($A$1,"Kaynakçı")*($AB$12)
+COUNTIFS($A$1,"Motorcu")*($AB$13)
+COUNTIFS($A$1,"Elektrikçi")*($AB$14)
+COUNTIFS($A$1,"Marangoz")*($AB$15)
+COUNTIFS($A$1,"Marangoz Yardımcısı")*($AB$16)
+COUNTIFS($A$1,"Atölye Personeli")*($AB$17)
+COUNTIFS($A$1,"Ambar Personeli-MYO")*($AB$18)
+COUNTIFS($A$1,"Ambar Personeli-Lise")*($AB$19)
+COUNTIFS($A$1,"İskele Personeli")*($AB$20)
+COUNTIFS($A$1,"Temizlik Personeli")*($AB$21)
+COUNTIFS($A$1,"Güvenlik Personeli")*($AB$22)</f>
        <v>173.11</v>
      </c>
      <c r="AQ11" s="8">
        <f ca="1">(AP11*DA2+AL1/30*-1+CX2/30)</f>
        <v>146.29108210000001</v>
      </c>
      <c r="AR11" s="26">
        <f t="shared" ref="AR11:AR16" si="73">COUNTIFS($A$1,"İskele Baş Personeli-Üniversite")*($AB$1)
+COUNTIFS($A$1,"İskele Baş Personeli-MYO")*($AB$2)
+COUNTIFS($A$1,"İskele Baş Personeli-Lise")*($AB$3)
+COUNTIFS($A$1,"Gişe Memuru-Üniversite")*($AB$4)
+COUNTIFS($A$1,"Gişe Memuru-MYO")*($AB$5)
+COUNTIFS($A$1,"Gişe Memuru-Lise")*($AB$6)
+COUNTIFS($A$1,"Bakım Onarım Elektrik-Elektronik Ustası")*($AB$7)
+COUNTIFS($A$1,"Atölye Ustabaşı")*($AB$8)
+COUNTIFS($A$1,"Motor Ustabaşı Yardımcısı")*($AB$9)
+COUNTIFS($A$1,"Motor Teknisyeni")*($AB$10)
+COUNTIFS($A$1,"Elektrik Bakım Onarım Personeli")*($AB$11)
+COUNTIFS($A$1,"Kaynakçı")*($AB$12)
+COUNTIFS($A$1,"Motorcu")*($AB$13)
+COUNTIFS($A$1,"Elektrikçi")*($AB$14)
+COUNTIFS($A$1,"Marangoz")*($AB$15)
+COUNTIFS($A$1,"Marangoz Yardımcısı")*($AB$16)
+COUNTIFS($A$1,"Atölye Personeli")*($AB$17)
+COUNTIFS($A$1,"Ambar Personeli-MYO")*($AB$18)
+COUNTIFS($A$1,"Ambar Personeli-Lise")*($AB$19)
+COUNTIFS($A$1,"İskele Personeli")*($AB$20)
+COUNTIFS($A$1,"Temizlik Personeli")*($AB$21)
+COUNTIFS($A$1,"Güvenlik Personeli")*($AB$22)</f>
        <v>173.11</v>
      </c>
      <c r="AS11" s="8">
        <f t="shared" ref="AS11:AS17" ca="1" si="74">(AR11*DA2)</f>
        <v>123.75807010000001</v>
      </c>
      <c r="AT11" s="24" t="s">
        <v>0</v>
      </c>
      <c r="AU11" s="27">
        <f t="shared" ref="AU11:AU22" si="75">(AR11*AJ13)</f>
        <v>5366.4100000000008</v>
      </c>
      <c r="AV11" s="8">
        <f t="shared" ref="AV11:AV17" ca="1" si="76">(AU11*DA2)</f>
        <v>3836.5001731000007</v>
      </c>
      <c r="AW11" s="8">
        <f t="shared" ref="AW11:AW22" si="77">(48.84*G15)</f>
        <v>1269.8400000000001</v>
      </c>
      <c r="AX11" s="8">
        <f t="shared" ref="AX11:AX22" si="78">(0.02757*365*C15)</f>
        <v>0</v>
      </c>
      <c r="AY11" s="8">
        <f t="shared" ref="AY11:AY17" ca="1" si="79">(AX11*DA2)</f>
        <v>0</v>
      </c>
      <c r="AZ11" s="8">
        <f t="shared" ref="AZ11:AZ17" ca="1" si="80">(BC11*DA2)</f>
        <v>0</v>
      </c>
      <c r="BA11" s="8">
        <f t="shared" ref="BA11:BA22" si="81">(AR11/7.5*1.5*D15)</f>
        <v>0</v>
      </c>
      <c r="BB11" s="8">
        <f t="shared" ref="BB11:BB17" ca="1" si="82">(BA11*DA2)</f>
        <v>0</v>
      </c>
      <c r="BC11" s="8">
        <f t="shared" ref="BC11:BC22" si="83">(AR11/7.5*0.12*F15)</f>
        <v>0</v>
      </c>
      <c r="BD11" s="8">
        <f t="shared" ref="BD11:BD22" si="84">(AR11/7.5*2*E15)</f>
        <v>0</v>
      </c>
      <c r="BE11" s="8">
        <f t="shared" ref="BE11:BE17" ca="1" si="85">(BD11*DA2)</f>
        <v>0</v>
      </c>
      <c r="BF11" s="8">
        <f t="shared" ca="1" si="57"/>
        <v>894.22591440000008</v>
      </c>
      <c r="BG11" s="8">
        <f t="shared" si="58"/>
        <v>1269.8400000000001</v>
      </c>
      <c r="BH11" s="8">
        <f t="shared" si="59"/>
        <v>1269.8400000000001</v>
      </c>
      <c r="BI11" s="8">
        <f t="shared" si="60"/>
        <v>-9.6380856000000019</v>
      </c>
      <c r="BJ11" s="8">
        <f t="shared" ref="BJ11:BJ16" si="86">(12.94*G21)</f>
        <v>336.44</v>
      </c>
      <c r="BK11" s="8">
        <f t="shared" si="61"/>
        <v>933.40000000000009</v>
      </c>
      <c r="BL11" s="8">
        <f t="shared" si="62"/>
        <v>-130.67600000000002</v>
      </c>
      <c r="BM11" s="8">
        <f t="shared" si="63"/>
        <v>-9.3340000000000014</v>
      </c>
      <c r="BN11" s="8">
        <f>(0)</f>
        <v>0</v>
      </c>
      <c r="BO11" s="8">
        <f t="shared" si="64"/>
        <v>1129.8300000000002</v>
      </c>
      <c r="BP11" s="8">
        <f t="shared" ca="1" si="65"/>
        <v>-225.96600000000004</v>
      </c>
      <c r="BQ11" s="8">
        <f ca="1">(AU18+AX18+BA18+BD18+BC18+AW18+BQ1+BW1+BZ1+CC1+AH12)</f>
        <v>9051.85</v>
      </c>
      <c r="BR11" s="8">
        <f ca="1">(AU18+AX18+BA18+BD18+BC18+AW18+BQ1+BW1+BZ1+CC1+AH12)</f>
        <v>9051.85</v>
      </c>
      <c r="BS11" s="8">
        <f t="shared" ca="1" si="51"/>
        <v>-68.7035415</v>
      </c>
      <c r="BT11" s="8">
        <f>(BI2)</f>
        <v>6471</v>
      </c>
      <c r="BU11" s="8">
        <f t="shared" si="52"/>
        <v>-49.114890000000003</v>
      </c>
      <c r="BV11" s="8">
        <f t="shared" ca="1" si="53"/>
        <v>2580.8500000000004</v>
      </c>
      <c r="BW11" s="8">
        <f t="shared" ca="1" si="54"/>
        <v>-19.588651500000005</v>
      </c>
      <c r="BX11" s="8">
        <f t="shared" ca="1" si="55"/>
        <v>-19.588651500000005</v>
      </c>
      <c r="BY11" s="8">
        <f>(BJ12+BT1+CE1+AI12)</f>
        <v>349.38</v>
      </c>
      <c r="BZ11" s="8">
        <f t="shared" ca="1" si="56"/>
        <v>8702.4700000000012</v>
      </c>
      <c r="CA11" s="8">
        <f ca="1">IF(BZ11&gt;=BH2*7.5,BH2*7.5,BZ11)</f>
        <v>8702.4700000000012</v>
      </c>
      <c r="CB11" s="8">
        <f>(CH25)</f>
        <v>1100.07</v>
      </c>
      <c r="CC11" s="8">
        <f ca="1">(CW11+CB11)</f>
        <v>-927.33000000000015</v>
      </c>
      <c r="CD11" s="19">
        <f t="shared" si="17"/>
        <v>0.84240999999999999</v>
      </c>
      <c r="CE11" s="19">
        <f ca="1">(100+(100*0.00759*-1)+(100*0.14*-1)+(100*0.01*-1)+(100+100*0.14*-1+100*0.01*-1)*CV11*-1)/100</f>
        <v>0.61290999999999995</v>
      </c>
      <c r="CF11" s="19">
        <f ca="1">(100+(100*0.00759*-1)+(100)*CV11*-1)/100</f>
        <v>0.72241</v>
      </c>
      <c r="CG11" s="8" t="s">
        <v>0</v>
      </c>
      <c r="CH11" s="8">
        <f t="shared" ca="1" si="31"/>
        <v>8787.31</v>
      </c>
      <c r="CI11" s="8">
        <f t="shared" ca="1" si="8"/>
        <v>1801.3985499999999</v>
      </c>
      <c r="CJ11" s="8">
        <f t="shared" ca="1" si="9"/>
        <v>87.873099999999994</v>
      </c>
      <c r="CK11" s="8">
        <f t="shared" ca="1" si="10"/>
        <v>-439.3655</v>
      </c>
      <c r="CL11" s="8">
        <f t="shared" ca="1" si="11"/>
        <v>10237.21615</v>
      </c>
      <c r="CM11" s="28" t="s">
        <v>0</v>
      </c>
      <c r="CN11" s="28" t="s">
        <v>0</v>
      </c>
      <c r="CO11" s="8">
        <f t="shared" ca="1" si="33"/>
        <v>-1213.3198</v>
      </c>
      <c r="CP11" s="8">
        <f t="shared" ca="1" si="34"/>
        <v>-86.665700000000001</v>
      </c>
      <c r="CQ11" s="8">
        <f>(BN14+BU3+AY6+BC6)</f>
        <v>194.13</v>
      </c>
      <c r="CR11" s="8">
        <f t="shared" ca="1" si="35"/>
        <v>7508.8945000000003</v>
      </c>
      <c r="CS11" s="8">
        <f ca="1">SUM($CR$2:CR11)</f>
        <v>81927.226999999999</v>
      </c>
      <c r="CT11" s="12">
        <f t="shared" ca="1" si="12"/>
        <v>0.27</v>
      </c>
      <c r="CU11" s="18">
        <f t="shared" ca="1" si="15"/>
        <v>0</v>
      </c>
      <c r="CV11" s="19">
        <f t="shared" ca="1" si="13"/>
        <v>0.27</v>
      </c>
      <c r="CW11" s="8">
        <f t="shared" ca="1" si="20"/>
        <v>-2027.4</v>
      </c>
      <c r="DC11" s="7">
        <v>9</v>
      </c>
      <c r="DD11" s="20">
        <v>4.5</v>
      </c>
      <c r="DE11" s="21">
        <v>0.11</v>
      </c>
      <c r="DF11" s="22"/>
    </row>
    <row r="12" spans="1:110" ht="39.950000000000003" customHeight="1" x14ac:dyDescent="0.25">
      <c r="A12" s="60"/>
      <c r="B12" s="61"/>
      <c r="C12" s="59"/>
      <c r="D12" s="59"/>
      <c r="E12" s="62"/>
      <c r="F12" s="62"/>
      <c r="G12" s="59"/>
      <c r="H12" s="59"/>
      <c r="I12" s="59"/>
      <c r="J12" s="59"/>
      <c r="K12" s="59"/>
      <c r="L12" s="59"/>
      <c r="M12" s="59"/>
      <c r="N12" s="59"/>
      <c r="O12" s="73"/>
      <c r="P12" s="1" t="s">
        <v>31</v>
      </c>
      <c r="Q12" s="2">
        <f t="shared" ca="1" si="21"/>
        <v>404.88756330000001</v>
      </c>
      <c r="R12" s="29">
        <f ca="1">COUNTIF(S1,"Ocak")*(AO1)*-1
+COUNTIF(S1,"Şubat")*(AO2)*-1
+COUNTIF(S1,"Mart")*(AO3)*-1
+COUNTIF(S1,"Nisan")*(AO4)*-1
+COUNTIF(S1,"Mayıs")*(BX8)*-1
+COUNTIF(S1,"Haziran")*(BX9)*-1
+COUNTIF(S1,"Temmuz")*(BX10)*-1
+COUNTIF(S1,"Ağustos")*(BX11)*-1
+COUNTIF(S1,"Eylül")*(BX12)*-1
+COUNTIF(S1,"Ekim")*(BX13)*-1
+COUNTIF(S1,"Kasım")*(BX14)*-1
+COUNTIF(S1,"Aralık")*(AU25)*-1
+COUNTIF(S1,"Yıllık Toplam")*(AU26)*-1
+COUNTIF(S1,"Yıllık Ortalama")*(AU27)*-1</f>
        <v>404.88756330000001</v>
      </c>
      <c r="S12" s="68"/>
      <c r="T12" s="72"/>
      <c r="U12" s="15" t="s">
        <v>37</v>
      </c>
      <c r="V12" s="16" t="s">
        <v>99</v>
      </c>
      <c r="W12" s="74"/>
      <c r="X12" s="75"/>
      <c r="Y12" s="64"/>
      <c r="Z12" s="63"/>
      <c r="AA12" s="25" t="s">
        <v>85</v>
      </c>
      <c r="AB12" s="5">
        <v>253.01</v>
      </c>
      <c r="AC12" s="5">
        <v>253.01</v>
      </c>
      <c r="AD12" s="30">
        <f>(2273)</f>
        <v>2273</v>
      </c>
      <c r="AE12" s="7" t="s">
        <v>0</v>
      </c>
      <c r="AF12" s="8">
        <f>($AD$24*$AD$12)</f>
        <v>535.16648499999997</v>
      </c>
      <c r="AG12" s="8">
        <f>($AE$24*$AD$12)</f>
        <v>758.27961899999991</v>
      </c>
      <c r="AH12" s="9">
        <f t="shared" si="22"/>
        <v>0</v>
      </c>
      <c r="AI12" s="9">
        <f t="shared" si="23"/>
        <v>0</v>
      </c>
      <c r="AJ12" s="9">
        <f ca="1">COUNTIF(I22,"Yok")*(0)
+COUNTIF(I22,"Cenaze Yardımı (Anne-Baba)")*($CN$2-$CN$2*0.00759)
+COUNTIF(I22,"Cenaze Yardımı (Eş-Çocuk)")*($CN$3-$CN$3*0.00759)
+COUNTIF(I22,"Cenaze Yardımı (İşçi-Tabii Sebepler Sonucu)")*($CN$4-$CN$4*0.00759)
+COUNTIF(I22,"Eğitim Yardımı (Çocuk-İlköğretim)")*($CN$5*CE9)
+COUNTIF(I22,"Eğitim Yardımı (Çocuk-Ortaöğretim)")*($CN$6*CE9)
+COUNTIF(I22,"Eğitim Yardımı (Çocuk-Lise)")*($CN$7*CE9)
+COUNTIF(I22,"Eğitim Yardımı (Çocuk-Yükseköğretim)")*($CN$8*CE9)
+COUNTIF(I22,"Evlilik Yardımı")*($CN$9-$CN$9*0.00759)
+COUNTIF(I22,"İş Kazası veya Meslek Hastalığı Tazminatı")*($CN$10-$CN$10*0.00759)
+COUNTIF(J22,"Yok")*(0)
+COUNTIF(J22,"Cenaze Yardımı (Anne-Baba)")*($CN$2-$CN$2*0.00759)
+COUNTIF(J22,"Cenaze Yardımı (Eş-Çocuk)")*($CN$3-$CN$3*0.00759)
+COUNTIF(J22,"Cenaze Yardımı (İşçi-Tabii Sebepler Sonucu)")*($CN$4-$CN$4*0.00759)
+COUNTIF(J22,"Eğitim Yardımı (Çocuk-İlköğretim)")*($CN$5*CE9)
+COUNTIF(J22,"Eğitim Yardımı (Çocuk-Ortaöğretim)")*($CN$6*CE9)
+COUNTIF(J22,"Eğitim Yardımı (Çocuk-Lise)")*($CN$7*CE9)
+COUNTIF(J22,"Eğitim Yardımı (Çocuk-Yükseköğretim)")*($CN$8*CE9)
+COUNTIF(J22,"Evlilik Yardımı")*($CN$9-$CN$9*0.00759)
+COUNTIF(J22,"İş Kazası veya Meslek Hastalığı Tazminatı")*($CN$10-$CN$10*0.00759)
+COUNTIF(K22,"Yok")*(0)
+COUNTIF(K22,"Cenaze Yardımı (Anne-Baba)")*($CN$2-$CN$2*0.00759)
+COUNTIF(K22,"Cenaze Yardımı (Eş-Çocuk)")*($CN$3-$CN$3*0.00759)
+COUNTIF(K22,"Cenaze Yardımı (İşçi-Tabii Sebepler Sonucu)")*($CN$4-$CN$4*0.00759)
+COUNTIF(K22,"Eğitim Yardımı (Çocuk-İlköğretim)")*($CN$5*CE9)
+COUNTIF(K22,"Eğitim Yardımı (Çocuk-Ortaöğretim)")*($CN$6*CE9)
+COUNTIF(K22,"Eğitim Yardımı (Çocuk-Lise)")*($CN$7*CE9)
+COUNTIF(K22,"Eğitim Yardımı (Çocuk-Yükseköğretim)")*($CN$8*CE9)
+COUNTIF(K22,"Evlilik Yardımı")*($CN$9-$CN$9*0.00759)
+COUNTIF(K22,"İş Kazası veya Meslek Hastalığı Tazminatı")*($CN$10-$CN$10*0.00759)</f>
        <v>0</v>
      </c>
      <c r="AK12" s="18" t="s">
        <v>9</v>
      </c>
      <c r="AL12" s="8">
        <f t="shared" si="25"/>
        <v>-194.13</v>
      </c>
      <c r="AM12" s="8">
        <f t="shared" si="26"/>
        <v>194.13</v>
      </c>
      <c r="AN12" s="26">
        <f t="shared" si="70"/>
        <v>173.11</v>
      </c>
      <c r="AO12" s="26">
        <f t="shared" ca="1" si="71"/>
        <v>123.75807010000001</v>
      </c>
      <c r="AP12" s="26">
        <f t="shared" si="72"/>
        <v>173.11</v>
      </c>
      <c r="AQ12" s="8">
        <f ca="1">(AP12*DA3+AL2/30*-1+CX3/30)</f>
        <v>146.29108210000001</v>
      </c>
      <c r="AR12" s="26">
        <f t="shared" si="73"/>
        <v>173.11</v>
      </c>
      <c r="AS12" s="8">
        <f t="shared" ca="1" si="74"/>
        <v>123.75807010000001</v>
      </c>
      <c r="AT12" s="24" t="s">
        <v>0</v>
      </c>
      <c r="AU12" s="27">
        <f t="shared" si="75"/>
        <v>4847.08</v>
      </c>
      <c r="AV12" s="8">
        <f t="shared" ca="1" si="76"/>
        <v>3465.2259628000002</v>
      </c>
      <c r="AW12" s="8">
        <f t="shared" si="77"/>
        <v>1172.1600000000001</v>
      </c>
      <c r="AX12" s="8">
        <f t="shared" si="78"/>
        <v>0</v>
      </c>
      <c r="AY12" s="8">
        <f t="shared" ca="1" si="79"/>
        <v>0</v>
      </c>
      <c r="AZ12" s="8">
        <f t="shared" ca="1" si="80"/>
        <v>0</v>
      </c>
      <c r="BA12" s="8">
        <f t="shared" si="81"/>
        <v>0</v>
      </c>
      <c r="BB12" s="8">
        <f t="shared" ca="1" si="82"/>
        <v>0</v>
      </c>
      <c r="BC12" s="8">
        <f t="shared" si="83"/>
        <v>0</v>
      </c>
      <c r="BD12" s="8">
        <f t="shared" si="84"/>
        <v>0</v>
      </c>
      <c r="BE12" s="8">
        <f t="shared" ca="1" si="85"/>
        <v>0</v>
      </c>
      <c r="BF12" s="8">
        <f t="shared" ca="1" si="57"/>
        <v>928.61921880000011</v>
      </c>
      <c r="BG12" s="8">
        <f t="shared" si="58"/>
        <v>1318.68</v>
      </c>
      <c r="BH12" s="8">
        <f t="shared" si="59"/>
        <v>1318.68</v>
      </c>
      <c r="BI12" s="8">
        <f t="shared" si="60"/>
        <v>-10.008781200000001</v>
      </c>
      <c r="BJ12" s="8">
        <f t="shared" si="86"/>
        <v>349.38</v>
      </c>
      <c r="BK12" s="8">
        <f t="shared" si="61"/>
        <v>969.30000000000007</v>
      </c>
      <c r="BL12" s="8">
        <f t="shared" si="62"/>
        <v>-135.70200000000003</v>
      </c>
      <c r="BM12" s="8">
        <f t="shared" si="63"/>
        <v>-9.6930000000000014</v>
      </c>
      <c r="BN12" s="8">
        <f>(0)</f>
        <v>0</v>
      </c>
      <c r="BO12" s="8">
        <f t="shared" si="64"/>
        <v>1173.2850000000001</v>
      </c>
      <c r="BP12" s="8">
        <f t="shared" ca="1" si="65"/>
        <v>-234.65700000000004</v>
      </c>
      <c r="BQ12" s="8">
        <f ca="1">(AU19+AX19+BA19+BD19+BC19+AW19+BQ2+BW2+BZ2+CC2+AX5)</f>
        <v>15258.31</v>
      </c>
      <c r="BR12" s="8">
        <f ca="1">(AU19+AX19+BA19+BD19+BC19+AW19+BQ2+BW2+BZ2+CC2+AX5)</f>
        <v>15258.31</v>
      </c>
      <c r="BS12" s="8">
        <f t="shared" ca="1" si="51"/>
        <v>-115.8105729</v>
      </c>
      <c r="BT12" s="8">
        <f>(BI3)</f>
        <v>6471</v>
      </c>
      <c r="BU12" s="8">
        <f t="shared" si="52"/>
        <v>-49.114890000000003</v>
      </c>
      <c r="BV12" s="8">
        <f t="shared" ca="1" si="53"/>
        <v>8787.31</v>
      </c>
      <c r="BW12" s="8">
        <f t="shared" ca="1" si="54"/>
        <v>-66.695682899999994</v>
      </c>
      <c r="BX12" s="8">
        <f t="shared" ca="1" si="55"/>
        <v>-66.695682899999994</v>
      </c>
      <c r="BY12" s="8">
        <f>(BJ13+BT2+CE2+AY5)</f>
        <v>336.44</v>
      </c>
      <c r="BZ12" s="8">
        <f t="shared" ca="1" si="56"/>
        <v>14921.869999999999</v>
      </c>
      <c r="CA12" s="8">
        <f ca="1">IF(BZ12&gt;=BH3*7.5,BH3*7.5,BZ12)</f>
        <v>14921.869999999999</v>
      </c>
      <c r="CB12" s="8">
        <f>(CH26)</f>
        <v>1100.07</v>
      </c>
      <c r="CC12" s="8">
        <f ca="1">(CW12+CB12)</f>
        <v>-877.83000000000015</v>
      </c>
      <c r="CD12" s="19">
        <f t="shared" si="17"/>
        <v>0.84240999999999999</v>
      </c>
      <c r="CE12" s="19">
        <f ca="1">(100+(100*0.00759*-1)+(100*0.14*-1)+(100*0.01*-1)+(100+100*0.14*-1+100*0.01*-1)*CV12*-1)/100</f>
        <v>0.61290999999999995</v>
      </c>
      <c r="CF12" s="19">
        <f ca="1">(100+(100*0.00759*-1)+(100)*CV12*-1)/100</f>
        <v>0.72241</v>
      </c>
      <c r="CG12" s="8" t="s">
        <v>0</v>
      </c>
      <c r="CH12" s="8">
        <f ca="1">(AO25)</f>
        <v>15522.85</v>
      </c>
      <c r="CI12" s="8">
        <f t="shared" ca="1" si="8"/>
        <v>3182.1842499999998</v>
      </c>
      <c r="CJ12" s="8">
        <f t="shared" ca="1" si="9"/>
        <v>155.2285</v>
      </c>
      <c r="CK12" s="8">
        <f t="shared" ca="1" si="10"/>
        <v>-776.14250000000004</v>
      </c>
      <c r="CL12" s="8">
        <f t="shared" ca="1" si="11"/>
        <v>18084.12025</v>
      </c>
      <c r="CM12" s="28" t="s">
        <v>0</v>
      </c>
      <c r="CN12" s="28" t="s">
        <v>0</v>
      </c>
      <c r="CO12" s="8">
        <f t="shared" ca="1" si="33"/>
        <v>-1183.1217999999999</v>
      </c>
      <c r="CP12" s="8">
        <f t="shared" ca="1" si="34"/>
        <v>-84.50869999999999</v>
      </c>
      <c r="CQ12" s="8">
        <f>(BN15+BU4+AY7+BC7)</f>
        <v>194.13</v>
      </c>
      <c r="CR12" s="8">
        <f t="shared" ca="1" si="35"/>
        <v>7325.5494999999992</v>
      </c>
      <c r="CS12" s="8">
        <f ca="1">SUM($CR$2:CR12)</f>
        <v>89252.776499999993</v>
      </c>
      <c r="CT12" s="12">
        <f t="shared" ca="1" si="12"/>
        <v>0.27</v>
      </c>
      <c r="CU12" s="18">
        <f t="shared" ca="1" si="15"/>
        <v>0</v>
      </c>
      <c r="CV12" s="19">
        <f t="shared" ca="1" si="13"/>
        <v>0.27</v>
      </c>
      <c r="CW12" s="8">
        <f t="shared" ca="1" si="20"/>
        <v>-1977.9</v>
      </c>
      <c r="DC12" s="7">
        <v>10</v>
      </c>
      <c r="DD12" s="20">
        <v>5</v>
      </c>
      <c r="DE12" s="21">
        <v>0.12</v>
      </c>
      <c r="DF12" s="22"/>
    </row>
    <row r="13" spans="1:110" ht="39.950000000000003" customHeight="1" x14ac:dyDescent="0.25">
      <c r="A13" s="60"/>
      <c r="B13" s="61"/>
      <c r="C13" s="59"/>
      <c r="D13" s="59"/>
      <c r="E13" s="62"/>
      <c r="F13" s="62"/>
      <c r="G13" s="59"/>
      <c r="H13" s="59"/>
      <c r="I13" s="59"/>
      <c r="J13" s="59"/>
      <c r="K13" s="59"/>
      <c r="L13" s="59"/>
      <c r="M13" s="59"/>
      <c r="N13" s="59"/>
      <c r="O13" s="73"/>
      <c r="P13" s="1" t="s">
        <v>4</v>
      </c>
      <c r="Q13" s="2">
        <f t="shared" ca="1" si="21"/>
        <v>16603.832000000002</v>
      </c>
      <c r="R13" s="29">
        <f ca="1">COUNTIF(S1,"Ocak")*(CO2)*-1
+COUNTIF(S1,"Şubat")*(CO3)*-1
+COUNTIF(S1,"Mart")*(CO4)*-1
+COUNTIF(S1,"Nisan")*(CO5)*-1
+COUNTIF(S1,"Mayıs")*(CO6)*-1
+COUNTIF(S1,"Haziran")*(CO7)*-1
+COUNTIF(S1,"Temmuz")*(CO8)*-1
+COUNTIF(S1,"Ağustos")*(CO9)*-1
+COUNTIF(S1,"Eylül")*(CO10)*-1
+COUNTIF(S1,"Ekim")*(CO11)*-1
+COUNTIF(S1,"Kasım")*(CO12)*-1
+COUNTIF(S1,"Aralık")*(CO13)*-1
+COUNTIF(S1,"Yıllık Toplam")*(CO14)*-1
+COUNTIF(S1,"Yıllık Ortalama")*(CO15)*-1</f>
        <v>16603.832000000002</v>
      </c>
      <c r="S13" s="68"/>
      <c r="T13" s="72"/>
      <c r="U13" s="31" t="s">
        <v>39</v>
      </c>
      <c r="V13" s="23" t="s">
        <v>100</v>
      </c>
      <c r="W13" s="74"/>
      <c r="X13" s="75"/>
      <c r="Y13" s="64"/>
      <c r="Z13" s="63"/>
      <c r="AA13" s="25" t="s">
        <v>86</v>
      </c>
      <c r="AB13" s="5">
        <v>222.29</v>
      </c>
      <c r="AC13" s="5">
        <v>222.29</v>
      </c>
      <c r="AD13" s="30">
        <f>(250)</f>
        <v>250</v>
      </c>
      <c r="AE13" s="7" t="s">
        <v>0</v>
      </c>
      <c r="AF13" s="8">
        <f>($AD$24*$AD$13*2)</f>
        <v>117.7225</v>
      </c>
      <c r="AG13" s="8">
        <f>($AE$24*$AD$13*2)</f>
        <v>166.8015</v>
      </c>
      <c r="AH13" s="32">
        <v>44562</v>
      </c>
      <c r="AI13" s="33">
        <f t="shared" ref="AI13:AI24" si="87">EOMONTH(AH13,0)</f>
        <v>44592</v>
      </c>
      <c r="AJ13" s="34">
        <f>DAY(AI13)</f>
        <v>31</v>
      </c>
      <c r="AK13" s="34">
        <f>NETWORKDAYS.INTL(AH13,AI13,11)</f>
        <v>26</v>
      </c>
      <c r="AL13" s="34">
        <f>(AJ13-AK13)</f>
        <v>5</v>
      </c>
      <c r="AM13" s="24" t="s">
        <v>0</v>
      </c>
      <c r="AN13" s="26">
        <f t="shared" si="70"/>
        <v>173.11</v>
      </c>
      <c r="AO13" s="26">
        <f t="shared" ca="1" si="71"/>
        <v>123.75807010000001</v>
      </c>
      <c r="AP13" s="26">
        <f t="shared" si="72"/>
        <v>173.11</v>
      </c>
      <c r="AQ13" s="8">
        <f ca="1">(AP13*DA4+AL3/30*-1+CX4/30)</f>
        <v>146.29108210000001</v>
      </c>
      <c r="AR13" s="26">
        <f t="shared" si="73"/>
        <v>173.11</v>
      </c>
      <c r="AS13" s="8">
        <f t="shared" ca="1" si="74"/>
        <v>123.75807010000001</v>
      </c>
      <c r="AT13" s="24" t="s">
        <v>0</v>
      </c>
      <c r="AU13" s="27">
        <f t="shared" si="75"/>
        <v>5366.4100000000008</v>
      </c>
      <c r="AV13" s="8">
        <f t="shared" ca="1" si="76"/>
        <v>3836.5001731000007</v>
      </c>
      <c r="AW13" s="8">
        <f t="shared" si="77"/>
        <v>1318.68</v>
      </c>
      <c r="AX13" s="8">
        <f t="shared" si="78"/>
        <v>0</v>
      </c>
      <c r="AY13" s="8">
        <f t="shared" ca="1" si="79"/>
        <v>0</v>
      </c>
      <c r="AZ13" s="8">
        <f t="shared" ca="1" si="80"/>
        <v>0</v>
      </c>
      <c r="BA13" s="8">
        <f t="shared" si="81"/>
        <v>0</v>
      </c>
      <c r="BB13" s="8">
        <f t="shared" ca="1" si="82"/>
        <v>0</v>
      </c>
      <c r="BC13" s="8">
        <f t="shared" si="83"/>
        <v>0</v>
      </c>
      <c r="BD13" s="8">
        <f t="shared" si="84"/>
        <v>0</v>
      </c>
      <c r="BE13" s="8">
        <f t="shared" ca="1" si="85"/>
        <v>0</v>
      </c>
      <c r="BF13" s="8">
        <f t="shared" ca="1" si="57"/>
        <v>866.98123478955631</v>
      </c>
      <c r="BG13" s="8">
        <f t="shared" si="58"/>
        <v>1269.8400000000001</v>
      </c>
      <c r="BH13" s="8">
        <f t="shared" si="59"/>
        <v>1269.8400000000001</v>
      </c>
      <c r="BI13" s="8">
        <f t="shared" si="60"/>
        <v>-9.6380856000000019</v>
      </c>
      <c r="BJ13" s="8">
        <f t="shared" si="86"/>
        <v>336.44</v>
      </c>
      <c r="BK13" s="8">
        <f t="shared" si="61"/>
        <v>933.40000000000009</v>
      </c>
      <c r="BL13" s="8">
        <f t="shared" si="62"/>
        <v>-130.67600000000002</v>
      </c>
      <c r="BM13" s="8">
        <f t="shared" si="63"/>
        <v>-9.3340000000000014</v>
      </c>
      <c r="BN13" s="8">
        <f>(0)</f>
        <v>0</v>
      </c>
      <c r="BO13" s="8">
        <f t="shared" si="64"/>
        <v>1129.8300000000002</v>
      </c>
      <c r="BP13" s="8">
        <f t="shared" ca="1" si="65"/>
        <v>-253.21067961044378</v>
      </c>
      <c r="BQ13" s="8">
        <f ca="1">(AU20+AX20+BA20+BD20+BC20+AW20+BQ3+BW3+BZ3+CC3+AX6)</f>
        <v>9003.01</v>
      </c>
      <c r="BR13" s="8">
        <f ca="1">(AU20+AX20+BA20+BD20+BC20+AW20+BQ3+BW3+BZ3+CC3+AX6)</f>
        <v>9003.01</v>
      </c>
      <c r="BS13" s="8">
        <f t="shared" ca="1" si="51"/>
        <v>-68.332845900000009</v>
      </c>
      <c r="BT13" s="8">
        <f>(BI4)</f>
        <v>6471</v>
      </c>
      <c r="BU13" s="8">
        <f t="shared" si="52"/>
        <v>-49.114890000000003</v>
      </c>
      <c r="BV13" s="8">
        <f t="shared" ca="1" si="53"/>
        <v>2532.0100000000002</v>
      </c>
      <c r="BW13" s="8">
        <f t="shared" ca="1" si="54"/>
        <v>-19.217955900000003</v>
      </c>
      <c r="BX13" s="8">
        <f t="shared" ca="1" si="55"/>
        <v>-19.217955900000003</v>
      </c>
      <c r="BY13" s="8">
        <f>(BJ14+BT3+CE3+AY6)</f>
        <v>336.44</v>
      </c>
      <c r="BZ13" s="8">
        <f t="shared" ca="1" si="56"/>
        <v>8666.57</v>
      </c>
      <c r="CA13" s="8">
        <f ca="1">IF(BZ13&gt;=BH4*7.5,BH4*7.5,BZ13)</f>
        <v>8666.57</v>
      </c>
      <c r="CB13" s="8">
        <f>(CH27)</f>
        <v>1100.07</v>
      </c>
      <c r="CC13" s="8">
        <f ca="1">(CW13+CB13)</f>
        <v>-2424.16</v>
      </c>
      <c r="CD13" s="19">
        <f t="shared" si="17"/>
        <v>0.84240999999999999</v>
      </c>
      <c r="CE13" s="19">
        <f ca="1">(100+(100*0.00759*-1)+(100*0.14*-1)+(100*0.01*-1)+(100+100*0.14*-1+100*0.01*-1)*CV13*-1)/100</f>
        <v>0.61290999999999995</v>
      </c>
      <c r="CF13" s="19">
        <f ca="1">(100+(100*0.00759*-1)+(100)*CV13*-1)/100</f>
        <v>0.72241</v>
      </c>
      <c r="CG13" s="9" t="s">
        <v>0</v>
      </c>
      <c r="CH13" s="8">
        <f t="shared" ref="CH13" ca="1" si="88">(CH1+CH2+CH3+CH4+CH5+CH6+CH7+CH8+CH9+CH10+CH11+CH12)</f>
        <v>122194.87</v>
      </c>
      <c r="CI13" s="8">
        <f t="shared" ref="CI13" ca="1" si="89">(CI1+CI2+CI3+CI4+CI5+CI6+CI7+CI8+CI9+CI10+CI11+CI12)</f>
        <v>25049.948349999999</v>
      </c>
      <c r="CJ13" s="8">
        <f t="shared" ref="CJ13" ca="1" si="90">(CJ1+CJ2+CJ3+CJ4+CJ5+CJ6+CJ7+CJ8+CJ9+CJ10+CJ11+CJ12)</f>
        <v>1221.9486999999999</v>
      </c>
      <c r="CK13" s="8">
        <f t="shared" ref="CK13" ca="1" si="91">(CK1+CK2+CK3+CK4+CK5+CK6+CK7+CK8+CK9+CK10+CK11+CK12)</f>
        <v>-6109.7435000000005</v>
      </c>
      <c r="CL13" s="8">
        <f t="shared" ref="CL13" ca="1" si="92">(CL1+CL2+CL3+CL4+CL5+CL6+CL7+CL8+CL9+CL10+CL11+CL12)</f>
        <v>142357.02355000001</v>
      </c>
      <c r="CM13" s="28" t="s">
        <v>0</v>
      </c>
      <c r="CN13" s="28" t="s">
        <v>0</v>
      </c>
      <c r="CO13" s="8">
        <f ca="1">(AX25*0.14*-1)</f>
        <v>-2124.2858000000006</v>
      </c>
      <c r="CP13" s="8">
        <f ca="1">(AX25*0.01*-1)</f>
        <v>-151.7347</v>
      </c>
      <c r="CQ13" s="8">
        <f>(BN16+BU5+AY8+BC8)</f>
        <v>194.13</v>
      </c>
      <c r="CR13" s="8">
        <f ca="1">(AO25+CO13+CP13-CQ13)</f>
        <v>13052.699500000001</v>
      </c>
      <c r="CS13" s="8">
        <f ca="1">SUM($CR$2:CR13)</f>
        <v>102305.476</v>
      </c>
      <c r="CT13" s="12">
        <f t="shared" ca="1" si="12"/>
        <v>0.27</v>
      </c>
      <c r="CU13" s="18">
        <f t="shared" ca="1" si="15"/>
        <v>0</v>
      </c>
      <c r="CV13" s="19">
        <f t="shared" ca="1" si="13"/>
        <v>0.27</v>
      </c>
      <c r="CW13" s="8">
        <f t="shared" ca="1" si="20"/>
        <v>-3524.23</v>
      </c>
      <c r="DC13" s="7">
        <v>11</v>
      </c>
      <c r="DD13" s="20">
        <v>5.5</v>
      </c>
      <c r="DE13" s="21">
        <v>0.13</v>
      </c>
      <c r="DF13" s="22"/>
    </row>
    <row r="14" spans="1:110" ht="39.950000000000003" customHeight="1" x14ac:dyDescent="0.25">
      <c r="A14" s="60"/>
      <c r="B14" s="61"/>
      <c r="C14" s="59"/>
      <c r="D14" s="59"/>
      <c r="E14" s="62"/>
      <c r="F14" s="62"/>
      <c r="G14" s="59"/>
      <c r="H14" s="59"/>
      <c r="I14" s="59"/>
      <c r="J14" s="59"/>
      <c r="K14" s="59"/>
      <c r="L14" s="59"/>
      <c r="M14" s="59"/>
      <c r="N14" s="59"/>
      <c r="O14" s="73"/>
      <c r="P14" s="1" t="s">
        <v>5</v>
      </c>
      <c r="Q14" s="2">
        <f t="shared" ca="1" si="21"/>
        <v>1185.9880000000003</v>
      </c>
      <c r="R14" s="29">
        <f ca="1">COUNTIF(S1,"Ocak")*(CP2)*-1
+COUNTIF(S1,"Şubat")*(CP3)*-1
+COUNTIF(S1,"Mart")*(CP4)*-1
+COUNTIF(S1,"Nisan")*(CP5)*-1
+COUNTIF(S1,"Mayıs")*(CP6)*-1
+COUNTIF(S1,"Haziran")*(CP7)*-1
+COUNTIF(S1,"Temmuz")*(CP8)*-1
+COUNTIF(S1,"Ağustos")*(CP9)*-1
+COUNTIF(S1,"Eylül")*(CP10)*-1
+COUNTIF(S1,"Ekim")*(CP11)*-1
+COUNTIF(S1,"Kasım")*(CP12)*-1
+COUNTIF(S1,"Aralık")*(CP13)*-1
+COUNTIF(S1,"Yıllık Toplam")*(CP14)*-1
+COUNTIF(S1,"Yıllık Ortalama")*(CP15)*-1</f>
        <v>1185.9880000000003</v>
      </c>
      <c r="S14" s="68"/>
      <c r="T14" s="72"/>
      <c r="U14" s="15" t="s">
        <v>45</v>
      </c>
      <c r="V14" s="16" t="s">
        <v>51</v>
      </c>
      <c r="W14" s="74"/>
      <c r="X14" s="75"/>
      <c r="Y14" s="64"/>
      <c r="Z14" s="63"/>
      <c r="AA14" s="11" t="s">
        <v>87</v>
      </c>
      <c r="AB14" s="5">
        <v>172.67</v>
      </c>
      <c r="AC14" s="5">
        <v>215.7</v>
      </c>
      <c r="AD14" s="30">
        <f>(AD13)</f>
        <v>250</v>
      </c>
      <c r="AE14" s="7" t="s">
        <v>0</v>
      </c>
      <c r="AF14" s="8">
        <f>($AD$24*$AD$14)</f>
        <v>58.861249999999998</v>
      </c>
      <c r="AG14" s="8">
        <f>($AE$24*$AD$14)</f>
        <v>83.400750000000002</v>
      </c>
      <c r="AH14" s="33">
        <f>(AI13+1)</f>
        <v>44593</v>
      </c>
      <c r="AI14" s="33">
        <f t="shared" si="87"/>
        <v>44620</v>
      </c>
      <c r="AJ14" s="34">
        <f t="shared" ref="AJ14:AJ24" si="93">DAY(AI14)</f>
        <v>28</v>
      </c>
      <c r="AK14" s="34">
        <f t="shared" ref="AK14:AK24" si="94">NETWORKDAYS.INTL(AH14,AI14,11)</f>
        <v>24</v>
      </c>
      <c r="AL14" s="34">
        <f t="shared" ref="AL14:AL24" si="95">(AJ14-AK14)</f>
        <v>4</v>
      </c>
      <c r="AM14" s="24" t="s">
        <v>0</v>
      </c>
      <c r="AN14" s="26">
        <f t="shared" si="70"/>
        <v>173.11</v>
      </c>
      <c r="AO14" s="26">
        <f t="shared" ca="1" si="71"/>
        <v>123.75807010000001</v>
      </c>
      <c r="AP14" s="26">
        <f t="shared" si="72"/>
        <v>173.11</v>
      </c>
      <c r="AQ14" s="8">
        <f ca="1">(AP14*DA5+AL4/30*-1+CX5/30)</f>
        <v>146.29108210000001</v>
      </c>
      <c r="AR14" s="26">
        <f t="shared" si="73"/>
        <v>173.11</v>
      </c>
      <c r="AS14" s="8">
        <f t="shared" ca="1" si="74"/>
        <v>123.75807010000001</v>
      </c>
      <c r="AT14" s="24" t="s">
        <v>0</v>
      </c>
      <c r="AU14" s="27">
        <f t="shared" si="75"/>
        <v>5193.3</v>
      </c>
      <c r="AV14" s="8">
        <f t="shared" ca="1" si="76"/>
        <v>3712.7421030000005</v>
      </c>
      <c r="AW14" s="8">
        <f t="shared" si="77"/>
        <v>1269.8400000000001</v>
      </c>
      <c r="AX14" s="8">
        <f t="shared" si="78"/>
        <v>0</v>
      </c>
      <c r="AY14" s="8">
        <f t="shared" ca="1" si="79"/>
        <v>0</v>
      </c>
      <c r="AZ14" s="8">
        <f t="shared" ca="1" si="80"/>
        <v>0</v>
      </c>
      <c r="BA14" s="8">
        <f t="shared" si="81"/>
        <v>0</v>
      </c>
      <c r="BB14" s="8">
        <f t="shared" ca="1" si="82"/>
        <v>0</v>
      </c>
      <c r="BC14" s="8">
        <f t="shared" si="83"/>
        <v>0</v>
      </c>
      <c r="BD14" s="8">
        <f t="shared" si="84"/>
        <v>0</v>
      </c>
      <c r="BE14" s="8">
        <f t="shared" ca="1" si="85"/>
        <v>0</v>
      </c>
      <c r="BF14" s="8">
        <f t="shared" ca="1" si="57"/>
        <v>815.13781440000002</v>
      </c>
      <c r="BG14" s="8">
        <f t="shared" si="58"/>
        <v>1269.8400000000001</v>
      </c>
      <c r="BH14" s="8">
        <f t="shared" si="59"/>
        <v>1269.8400000000001</v>
      </c>
      <c r="BI14" s="8">
        <f t="shared" si="60"/>
        <v>-9.6380856000000019</v>
      </c>
      <c r="BJ14" s="8">
        <f t="shared" si="86"/>
        <v>336.44</v>
      </c>
      <c r="BK14" s="8">
        <f t="shared" si="61"/>
        <v>933.40000000000009</v>
      </c>
      <c r="BL14" s="8">
        <f t="shared" si="62"/>
        <v>-130.67600000000002</v>
      </c>
      <c r="BM14" s="8">
        <f t="shared" si="63"/>
        <v>-9.3340000000000014</v>
      </c>
      <c r="BN14" s="8">
        <f>(0)</f>
        <v>0</v>
      </c>
      <c r="BO14" s="8">
        <f t="shared" si="64"/>
        <v>1129.8300000000002</v>
      </c>
      <c r="BP14" s="8">
        <f t="shared" ca="1" si="65"/>
        <v>-305.05410000000006</v>
      </c>
      <c r="BQ14" s="8">
        <f ca="1">(AU21+AX21+BA21+BD21+BC21+AW21+BQ4+BW4+BZ4+CC4+AX7)</f>
        <v>8787.31</v>
      </c>
      <c r="BR14" s="8">
        <f ca="1">(AU21+AX21+BA21+BD21+BC21+AW21+BQ4+BW4+BZ4+CC4+AX7)</f>
        <v>8787.31</v>
      </c>
      <c r="BS14" s="8">
        <f t="shared" ca="1" si="51"/>
        <v>-66.695682899999994</v>
      </c>
      <c r="BT14" s="8">
        <f>(BI5)</f>
        <v>6471</v>
      </c>
      <c r="BU14" s="8">
        <f t="shared" si="52"/>
        <v>-49.114890000000003</v>
      </c>
      <c r="BV14" s="8">
        <f t="shared" ca="1" si="53"/>
        <v>2316.3099999999995</v>
      </c>
      <c r="BW14" s="8">
        <f t="shared" ca="1" si="54"/>
        <v>-17.580792899999999</v>
      </c>
      <c r="BX14" s="8">
        <f t="shared" ca="1" si="55"/>
        <v>-17.580792899999999</v>
      </c>
      <c r="BY14" s="8">
        <f>(BJ15+BT4+CE4+AY7)</f>
        <v>336.44</v>
      </c>
      <c r="BZ14" s="8">
        <f t="shared" ca="1" si="56"/>
        <v>8450.869999999999</v>
      </c>
      <c r="CA14" s="8">
        <f ca="1">IF(BZ14&gt;=BH5*7.5,BH5*7.5,BZ14)</f>
        <v>8450.869999999999</v>
      </c>
      <c r="CG14" s="8" t="s">
        <v>0</v>
      </c>
      <c r="CH14" s="8">
        <f t="shared" ref="CH14" ca="1" si="96">(CH13/12)</f>
        <v>10182.905833333332</v>
      </c>
      <c r="CI14" s="8">
        <f t="shared" ref="CI14" ca="1" si="97">(CI13/12)</f>
        <v>2087.4956958333332</v>
      </c>
      <c r="CJ14" s="8">
        <f t="shared" ref="CJ14" ca="1" si="98">(CJ13/12)</f>
        <v>101.82905833333332</v>
      </c>
      <c r="CK14" s="8">
        <f t="shared" ref="CK14" ca="1" si="99">(CK13/12)</f>
        <v>-509.14529166666671</v>
      </c>
      <c r="CL14" s="8">
        <f t="shared" ref="CL14" ca="1" si="100">(CL13/12)</f>
        <v>11863.085295833334</v>
      </c>
      <c r="CM14" s="28" t="s">
        <v>0</v>
      </c>
      <c r="CN14" s="28" t="s">
        <v>0</v>
      </c>
      <c r="CO14" s="8">
        <f t="shared" ref="CO14" ca="1" si="101">(CO2+CO3+CO4+CO5+CO6+CO7+CO8+CO9+CO10+CO11+CO12+CO13)</f>
        <v>-16603.832000000002</v>
      </c>
      <c r="CP14" s="8">
        <f t="shared" ref="CP14" ca="1" si="102">(CP2+CP3+CP4+CP5+CP6+CP7+CP8+CP9+CP10+CP11+CP12+CP13)</f>
        <v>-1185.9880000000003</v>
      </c>
      <c r="CQ14" s="8">
        <f t="shared" ref="CQ14" si="103">(CQ2+CQ3+CQ4+CQ5+CQ6+CQ7+CQ8+CQ9+CQ10+CQ11+CQ12+CQ13)</f>
        <v>2099.5740000000005</v>
      </c>
      <c r="CR14" s="8">
        <f t="shared" ref="CR14" ca="1" si="104">(CR2+CR3+CR4+CR5+CR6+CR7+CR8+CR9+CR10+CR11+CR12+CR13)</f>
        <v>102305.476</v>
      </c>
      <c r="CS14" s="24" t="s">
        <v>0</v>
      </c>
      <c r="CT14" s="7" t="s">
        <v>0</v>
      </c>
      <c r="CU14" s="7" t="s">
        <v>0</v>
      </c>
      <c r="CV14" s="7" t="s">
        <v>0</v>
      </c>
      <c r="CW14" s="8">
        <f t="shared" ref="CW14" ca="1" si="105">(CW2+CW3+CW4+CW5+CW6+CW7+CW8+CW9+CW10+CW11+CW12+CW13)</f>
        <v>-21122.469999999998</v>
      </c>
      <c r="CX14" s="8">
        <f>(CX2+CX3+CX4+CX5+CX6+CX7+CX8+CB9+CB10+CB11+CB12+CB13)</f>
        <v>10104.5</v>
      </c>
      <c r="CY14" s="8">
        <f ca="1">(CY2+CY3+CY4+CY5+CY6+CY7+CY8+CC9+CC10+CC11+CC12+CC13)</f>
        <v>-11017.970000000001</v>
      </c>
      <c r="CZ14" s="7" t="s">
        <v>0</v>
      </c>
      <c r="DA14" s="7" t="s">
        <v>0</v>
      </c>
      <c r="DB14" s="7" t="s">
        <v>0</v>
      </c>
      <c r="DC14" s="7">
        <v>12</v>
      </c>
      <c r="DD14" s="20">
        <v>6</v>
      </c>
      <c r="DE14" s="21">
        <v>0.14000000000000001</v>
      </c>
      <c r="DF14" s="22"/>
    </row>
    <row r="15" spans="1:110" ht="39.950000000000003" customHeight="1" x14ac:dyDescent="0.25">
      <c r="A15" s="35">
        <f t="shared" ref="A15:A26" ca="1" si="106">(CV2)</f>
        <v>0.15</v>
      </c>
      <c r="B15" s="36" t="s">
        <v>10</v>
      </c>
      <c r="C15" s="54">
        <v>0</v>
      </c>
      <c r="D15" s="55">
        <v>0</v>
      </c>
      <c r="E15" s="55">
        <v>0</v>
      </c>
      <c r="F15" s="55">
        <v>0</v>
      </c>
      <c r="G15" s="54">
        <v>26</v>
      </c>
      <c r="H15" s="54">
        <v>0</v>
      </c>
      <c r="I15" s="56" t="s">
        <v>1</v>
      </c>
      <c r="J15" s="56" t="s">
        <v>1</v>
      </c>
      <c r="K15" s="56" t="s">
        <v>1</v>
      </c>
      <c r="L15" s="57">
        <v>0</v>
      </c>
      <c r="M15" s="37">
        <f ca="1">(AI1+AL5+AN5+AO1+CO2+CP2+CY2-N15)</f>
        <v>5128.1960508000002</v>
      </c>
      <c r="N15" s="37">
        <f ca="1">(BB11+BE11+AZ11+AS1+AO5)</f>
        <v>941.00446439999996</v>
      </c>
      <c r="O15" s="38">
        <f ca="1">(M15+N15)</f>
        <v>6069.2005152000002</v>
      </c>
      <c r="P15" s="1" t="s">
        <v>32</v>
      </c>
      <c r="Q15" s="2">
        <f t="shared" ca="1" si="21"/>
        <v>11017.970000000001</v>
      </c>
      <c r="R15" s="29">
        <f ca="1">COUNTIF(S1,"Ocak")*(CY2)*-1
+COUNTIF(S1,"Şubat")*(CY3)*-1
+COUNTIF(S1,"Mart")*(CY4)*-1
+COUNTIF(S1,"Nisan")*(CY5)*-1
+COUNTIF(S1,"Mayıs")*(CY6)*-1
+COUNTIF(S1,"Haziran")*(CY7)*-1
+COUNTIF(S1,"Temmuz")*(CY8)*-1
+COUNTIF(S1,"Ağustos")*(CC9)*-1
+COUNTIF(S1,"Eylül")*(CC10)*-1
+COUNTIF(S1,"Ekim")*(CC11)*-1
+COUNTIF(S1,"Kasım")*(CC12)*-1
+COUNTIF(S1,"Aralık")*(CC13)*-1
+COUNTIF(S1,"Yıllık Toplam")*(CY14)*-1
+COUNTIF(S1,"Yıllık Ortalama")*(CY15)*-1</f>
        <v>11017.970000000001</v>
      </c>
      <c r="S15" s="68"/>
      <c r="T15" s="72"/>
      <c r="U15" s="39" t="s">
        <v>0</v>
      </c>
      <c r="V15" s="23" t="s">
        <v>0</v>
      </c>
      <c r="W15" s="74"/>
      <c r="X15" s="75"/>
      <c r="Y15" s="64"/>
      <c r="Z15" s="63"/>
      <c r="AA15" s="11" t="s">
        <v>88</v>
      </c>
      <c r="AB15" s="5">
        <v>222.29</v>
      </c>
      <c r="AC15" s="5">
        <v>222.29</v>
      </c>
      <c r="AD15" s="18">
        <f>(1.5)</f>
        <v>1.5</v>
      </c>
      <c r="AE15" s="7" t="s">
        <v>0</v>
      </c>
      <c r="AF15" s="8">
        <f>($AF$13*$AD$15)</f>
        <v>176.58375000000001</v>
      </c>
      <c r="AG15" s="8">
        <f>($AG$13*$AD$15)</f>
        <v>250.20224999999999</v>
      </c>
      <c r="AH15" s="33">
        <f t="shared" ref="AH15:AH24" si="107">(AI14+1)</f>
        <v>44621</v>
      </c>
      <c r="AI15" s="33">
        <f t="shared" si="87"/>
        <v>44651</v>
      </c>
      <c r="AJ15" s="34">
        <f t="shared" si="93"/>
        <v>31</v>
      </c>
      <c r="AK15" s="34">
        <f t="shared" si="94"/>
        <v>27</v>
      </c>
      <c r="AL15" s="34">
        <f t="shared" si="95"/>
        <v>4</v>
      </c>
      <c r="AM15" s="24" t="s">
        <v>0</v>
      </c>
      <c r="AN15" s="26">
        <f t="shared" si="70"/>
        <v>173.11</v>
      </c>
      <c r="AO15" s="26">
        <f t="shared" ca="1" si="71"/>
        <v>119.34107588420312</v>
      </c>
      <c r="AP15" s="26">
        <f t="shared" si="72"/>
        <v>173.11</v>
      </c>
      <c r="AQ15" s="8">
        <f ca="1">(AP15*DA6+BU8/30*-1+CX6/30)</f>
        <v>141.87408788420313</v>
      </c>
      <c r="AR15" s="26">
        <f t="shared" si="73"/>
        <v>173.11</v>
      </c>
      <c r="AS15" s="8">
        <f t="shared" ca="1" si="74"/>
        <v>119.34107588420312</v>
      </c>
      <c r="AT15" s="24" t="s">
        <v>0</v>
      </c>
      <c r="AU15" s="27">
        <f t="shared" si="75"/>
        <v>5366.4100000000008</v>
      </c>
      <c r="AV15" s="8">
        <f t="shared" ca="1" si="76"/>
        <v>3699.573352410297</v>
      </c>
      <c r="AW15" s="8">
        <f t="shared" si="77"/>
        <v>1269.8400000000001</v>
      </c>
      <c r="AX15" s="8">
        <f t="shared" si="78"/>
        <v>0</v>
      </c>
      <c r="AY15" s="8">
        <f t="shared" ca="1" si="79"/>
        <v>0</v>
      </c>
      <c r="AZ15" s="8">
        <f t="shared" ca="1" si="80"/>
        <v>0</v>
      </c>
      <c r="BA15" s="8">
        <f t="shared" si="81"/>
        <v>0</v>
      </c>
      <c r="BB15" s="8">
        <f t="shared" ca="1" si="82"/>
        <v>0</v>
      </c>
      <c r="BC15" s="8">
        <f t="shared" si="83"/>
        <v>0</v>
      </c>
      <c r="BD15" s="8">
        <f t="shared" si="84"/>
        <v>0</v>
      </c>
      <c r="BE15" s="8">
        <f t="shared" ca="1" si="85"/>
        <v>0</v>
      </c>
      <c r="BF15" s="8">
        <f t="shared" ca="1" si="57"/>
        <v>815.13781440000002</v>
      </c>
      <c r="BG15" s="8">
        <f t="shared" si="58"/>
        <v>1269.8400000000001</v>
      </c>
      <c r="BH15" s="8">
        <f t="shared" si="59"/>
        <v>1269.8400000000001</v>
      </c>
      <c r="BI15" s="8">
        <f t="shared" si="60"/>
        <v>-9.6380856000000019</v>
      </c>
      <c r="BJ15" s="8">
        <f t="shared" si="86"/>
        <v>336.44</v>
      </c>
      <c r="BK15" s="8">
        <f t="shared" si="61"/>
        <v>933.40000000000009</v>
      </c>
      <c r="BL15" s="8">
        <f t="shared" si="62"/>
        <v>-130.67600000000002</v>
      </c>
      <c r="BM15" s="8">
        <f t="shared" si="63"/>
        <v>-9.3340000000000014</v>
      </c>
      <c r="BN15" s="8">
        <f>(0)</f>
        <v>0</v>
      </c>
      <c r="BO15" s="8">
        <f t="shared" si="64"/>
        <v>1129.8300000000002</v>
      </c>
      <c r="BP15" s="8">
        <f t="shared" ca="1" si="65"/>
        <v>-305.05410000000006</v>
      </c>
      <c r="CD15" s="8">
        <f>(0)</f>
        <v>0</v>
      </c>
      <c r="CE15" s="12">
        <f>(0%)</f>
        <v>0</v>
      </c>
      <c r="CM15" s="28" t="s">
        <v>0</v>
      </c>
      <c r="CN15" s="28" t="s">
        <v>0</v>
      </c>
      <c r="CO15" s="8">
        <f t="shared" ref="CO15" ca="1" si="108">(CO14/12)</f>
        <v>-1383.6526666666668</v>
      </c>
      <c r="CP15" s="8">
        <f t="shared" ref="CP15" ca="1" si="109">(CP14/12)</f>
        <v>-98.832333333333352</v>
      </c>
      <c r="CQ15" s="8">
        <f t="shared" ref="CQ15" si="110">(CQ14/12)</f>
        <v>174.96450000000004</v>
      </c>
      <c r="CR15" s="8">
        <f t="shared" ref="CR15" ca="1" si="111">(CR14/12)</f>
        <v>8525.4563333333335</v>
      </c>
      <c r="CS15" s="24" t="s">
        <v>0</v>
      </c>
      <c r="CT15" s="24" t="s">
        <v>0</v>
      </c>
      <c r="CU15" s="24" t="s">
        <v>0</v>
      </c>
      <c r="CV15" s="24" t="s">
        <v>0</v>
      </c>
      <c r="CW15" s="8">
        <f t="shared" ref="CW15" ca="1" si="112">(CW14/12)</f>
        <v>-1760.2058333333332</v>
      </c>
      <c r="CX15" s="8">
        <f t="shared" ref="CX15" si="113">(CX14/12)</f>
        <v>842.04166666666663</v>
      </c>
      <c r="CY15" s="8">
        <f t="shared" ref="CY15" ca="1" si="114">(CY14/12)</f>
        <v>-918.1641666666668</v>
      </c>
      <c r="CZ15" s="24" t="s">
        <v>0</v>
      </c>
      <c r="DA15" s="24" t="s">
        <v>0</v>
      </c>
      <c r="DB15" s="24" t="s">
        <v>0</v>
      </c>
      <c r="DC15" s="7">
        <v>13</v>
      </c>
      <c r="DD15" s="20">
        <v>6.5</v>
      </c>
      <c r="DE15" s="21">
        <v>0.15</v>
      </c>
      <c r="DF15" s="22"/>
    </row>
    <row r="16" spans="1:110" ht="39.950000000000003" customHeight="1" x14ac:dyDescent="0.25">
      <c r="A16" s="35">
        <f t="shared" ca="1" si="106"/>
        <v>0.15</v>
      </c>
      <c r="B16" s="36" t="s">
        <v>11</v>
      </c>
      <c r="C16" s="54">
        <v>0</v>
      </c>
      <c r="D16" s="55">
        <v>0</v>
      </c>
      <c r="E16" s="55">
        <v>0</v>
      </c>
      <c r="F16" s="55">
        <v>0</v>
      </c>
      <c r="G16" s="54">
        <v>24</v>
      </c>
      <c r="H16" s="54">
        <v>0</v>
      </c>
      <c r="I16" s="56" t="s">
        <v>1</v>
      </c>
      <c r="J16" s="56" t="s">
        <v>1</v>
      </c>
      <c r="K16" s="56" t="s">
        <v>1</v>
      </c>
      <c r="L16" s="57">
        <v>0</v>
      </c>
      <c r="M16" s="37">
        <f ca="1">(AI2+AL6+AN6+AO2+CO3+CP3+CY3-N16)</f>
        <v>4756.9226154999997</v>
      </c>
      <c r="N16" s="37">
        <f ca="1">(BB12+BE12+AZ12+AS2+AO6)</f>
        <v>868.6195055999998</v>
      </c>
      <c r="O16" s="38">
        <f t="shared" ref="O16:O26" ca="1" si="115">(M16+N16)</f>
        <v>5625.5421210999993</v>
      </c>
      <c r="P16" s="1" t="s">
        <v>68</v>
      </c>
      <c r="Q16" s="2">
        <f t="shared" ca="1" si="21"/>
        <v>142357.02355000001</v>
      </c>
      <c r="R16" s="29">
        <f ca="1">COUNTIF(S1,"Ocak")*(CL1)
+COUNTIF(S1,"Şubat")*(CL2)
+COUNTIF(S1,"Mart")*(CL3)
+COUNTIF(S1,"Nisan")*(CL4)
+COUNTIF(S1,"Mayıs")*(CL5)
+COUNTIF(S1,"Haziran")*(CL6)
+COUNTIF(S1,"Temmuz")*(CL7)
+COUNTIF(S1,"Ağustos")*(CL8)
+COUNTIF(S1,"Eylül")*(CL9)
+COUNTIF(S1,"Ekim")*(CL10)
+COUNTIF(S1,"Kasım")*(CL11)
+COUNTIF(S1,"Aralık")*(CL12)
+COUNTIF(S1,"Yıllık Toplam")*(CL13)
+COUNTIF(S1,"Yıllık Ortalama")*(CL14)</f>
        <v>142357.02355000001</v>
      </c>
      <c r="S16" s="68"/>
      <c r="T16" s="72"/>
      <c r="U16" s="39" t="s">
        <v>0</v>
      </c>
      <c r="V16" s="23" t="s">
        <v>0</v>
      </c>
      <c r="W16" s="74"/>
      <c r="X16" s="75"/>
      <c r="Y16" s="64"/>
      <c r="Z16" s="63"/>
      <c r="AA16" s="11" t="s">
        <v>89</v>
      </c>
      <c r="AB16" s="5">
        <v>172.67</v>
      </c>
      <c r="AC16" s="5">
        <v>215.7</v>
      </c>
      <c r="AD16" s="7" t="s">
        <v>0</v>
      </c>
      <c r="AE16" s="7" t="s">
        <v>0</v>
      </c>
      <c r="AF16" s="8">
        <f>($AF$15/2)</f>
        <v>88.291875000000005</v>
      </c>
      <c r="AG16" s="8">
        <f>($AG$15/2)</f>
        <v>125.101125</v>
      </c>
      <c r="AH16" s="33">
        <f t="shared" si="107"/>
        <v>44652</v>
      </c>
      <c r="AI16" s="33">
        <f t="shared" si="87"/>
        <v>44681</v>
      </c>
      <c r="AJ16" s="34">
        <f t="shared" si="93"/>
        <v>30</v>
      </c>
      <c r="AK16" s="34">
        <f t="shared" si="94"/>
        <v>26</v>
      </c>
      <c r="AL16" s="34">
        <f t="shared" si="95"/>
        <v>4</v>
      </c>
      <c r="AM16" s="24" t="s">
        <v>0</v>
      </c>
      <c r="AN16" s="26">
        <f t="shared" si="70"/>
        <v>173.11</v>
      </c>
      <c r="AO16" s="26">
        <f t="shared" ca="1" si="71"/>
        <v>116.4008951</v>
      </c>
      <c r="AP16" s="26">
        <f t="shared" si="72"/>
        <v>173.11</v>
      </c>
      <c r="AQ16" s="8">
        <f ca="1">(AP16*DA7+BU9/30*-1+CX7/30)</f>
        <v>138.9339071</v>
      </c>
      <c r="AR16" s="26">
        <f t="shared" si="73"/>
        <v>173.11</v>
      </c>
      <c r="AS16" s="8">
        <f t="shared" ca="1" si="74"/>
        <v>116.4008951</v>
      </c>
      <c r="AT16" s="24" t="s">
        <v>0</v>
      </c>
      <c r="AU16" s="27">
        <f t="shared" si="75"/>
        <v>5193.3</v>
      </c>
      <c r="AV16" s="8">
        <f t="shared" ca="1" si="76"/>
        <v>3492.0268529999998</v>
      </c>
      <c r="AW16" s="8">
        <f t="shared" si="77"/>
        <v>1269.8400000000001</v>
      </c>
      <c r="AX16" s="8">
        <f t="shared" si="78"/>
        <v>0</v>
      </c>
      <c r="AY16" s="8">
        <f t="shared" ca="1" si="79"/>
        <v>0</v>
      </c>
      <c r="AZ16" s="8">
        <f t="shared" ca="1" si="80"/>
        <v>0</v>
      </c>
      <c r="BA16" s="8">
        <f t="shared" si="81"/>
        <v>0</v>
      </c>
      <c r="BB16" s="8">
        <f t="shared" ca="1" si="82"/>
        <v>0</v>
      </c>
      <c r="BC16" s="8">
        <f t="shared" si="83"/>
        <v>0</v>
      </c>
      <c r="BD16" s="8">
        <f t="shared" si="84"/>
        <v>0</v>
      </c>
      <c r="BE16" s="8">
        <f t="shared" ca="1" si="85"/>
        <v>0</v>
      </c>
      <c r="BF16" s="8">
        <f t="shared" ca="1" si="57"/>
        <v>846.4892688000001</v>
      </c>
      <c r="BG16" s="8">
        <f t="shared" si="58"/>
        <v>1318.68</v>
      </c>
      <c r="BH16" s="8">
        <f t="shared" si="59"/>
        <v>1318.68</v>
      </c>
      <c r="BI16" s="8">
        <f t="shared" si="60"/>
        <v>-10.008781200000001</v>
      </c>
      <c r="BJ16" s="8">
        <f t="shared" si="86"/>
        <v>349.38</v>
      </c>
      <c r="BK16" s="8">
        <f t="shared" si="61"/>
        <v>969.30000000000007</v>
      </c>
      <c r="BL16" s="8">
        <f t="shared" si="62"/>
        <v>-135.70200000000003</v>
      </c>
      <c r="BM16" s="8">
        <f t="shared" si="63"/>
        <v>-9.6930000000000014</v>
      </c>
      <c r="BN16" s="8">
        <f>(0)</f>
        <v>0</v>
      </c>
      <c r="BO16" s="8">
        <f t="shared" si="64"/>
        <v>1173.2850000000001</v>
      </c>
      <c r="BP16" s="8">
        <f t="shared" ca="1" si="65"/>
        <v>-316.78695000000005</v>
      </c>
      <c r="BV16" s="8">
        <f t="shared" ref="BV16:BV21" si="116">(AW5*0.14*-1)</f>
        <v>-700.56000000000006</v>
      </c>
      <c r="BW16" s="8">
        <f t="shared" ref="BW16:BW21" si="117">(AW5*0.01*-1)</f>
        <v>-50.04</v>
      </c>
      <c r="BX16" s="40">
        <v>0.15</v>
      </c>
      <c r="BY16" s="26">
        <v>0</v>
      </c>
      <c r="BZ16" s="8">
        <v>32000</v>
      </c>
      <c r="CA16" s="8">
        <v>0</v>
      </c>
      <c r="CB16" s="8">
        <f>(0)</f>
        <v>0</v>
      </c>
      <c r="CC16" s="8">
        <f t="shared" ref="CC16:CC21" si="118">(AR5+BV16+BW16-CB16)</f>
        <v>4253.3999999999996</v>
      </c>
      <c r="CD16" s="8">
        <f>SUM(CC$16:$CC16)</f>
        <v>4253.3999999999996</v>
      </c>
      <c r="CE16" s="12">
        <f t="shared" ref="CE16:CE27" si="119">IF(CD16&lt;=$BZ$16,$BX$16,
IF(CD16&gt;$BZ$18,
IF(CD16&gt;$BZ$19,$BX$20,$BX$19),
IF(CD16&lt;$BZ$17,$BX$17,$BX$18)))</f>
        <v>0.15</v>
      </c>
      <c r="CF16" s="18">
        <f>IF(CE16-CE15=0,0,1)</f>
        <v>1</v>
      </c>
      <c r="CG16" s="19">
        <f t="shared" ref="CG16:CG27" si="120">IF(CF16=0,CE16,(VLOOKUP($CE16,$BX$16:$CA$20,2,0)-CD15)/CC16*CE15+(CD16-VLOOKUP($CE16,$BX$16:$CA$20,2,0))/CC16*CE16)</f>
        <v>0.15</v>
      </c>
      <c r="CH16" s="8">
        <f>(ROUND(CC16*CG16,2)+VLOOKUP(CE16,$BX$16:$CA$20,4,0))</f>
        <v>638.01</v>
      </c>
      <c r="CI16" s="19">
        <f>(100+(100*0.00759*-1)+(100*0.01*-1)+(100*0.01*-1)+(100+100*0.14*-1+100*0.01*-1)*CG16*-1)/100</f>
        <v>0.84491000000000005</v>
      </c>
      <c r="CJ16" s="8">
        <f t="shared" ref="CJ16:CJ21" si="121">AR5</f>
        <v>5004</v>
      </c>
      <c r="CK16" s="8">
        <f t="shared" ref="CK16:CK21" si="122">AR5+AU5+BV16+BW16</f>
        <v>4253.3999999999996</v>
      </c>
      <c r="CL16" s="8" t="s">
        <v>0</v>
      </c>
      <c r="CM16" s="28" t="s">
        <v>0</v>
      </c>
      <c r="CN16" s="28" t="s">
        <v>0</v>
      </c>
      <c r="DC16" s="7">
        <v>14</v>
      </c>
      <c r="DD16" s="20">
        <v>7</v>
      </c>
      <c r="DE16" s="21">
        <v>0.16</v>
      </c>
      <c r="DF16" s="22"/>
    </row>
    <row r="17" spans="1:110" ht="39.950000000000003" customHeight="1" x14ac:dyDescent="0.25">
      <c r="A17" s="35">
        <f t="shared" ca="1" si="106"/>
        <v>0.15</v>
      </c>
      <c r="B17" s="36" t="s">
        <v>12</v>
      </c>
      <c r="C17" s="54">
        <v>0</v>
      </c>
      <c r="D17" s="55">
        <v>0</v>
      </c>
      <c r="E17" s="55">
        <v>0</v>
      </c>
      <c r="F17" s="55">
        <v>0</v>
      </c>
      <c r="G17" s="54">
        <v>27</v>
      </c>
      <c r="H17" s="54">
        <v>0</v>
      </c>
      <c r="I17" s="56" t="s">
        <v>1</v>
      </c>
      <c r="J17" s="56" t="s">
        <v>1</v>
      </c>
      <c r="K17" s="56" t="s">
        <v>1</v>
      </c>
      <c r="L17" s="57">
        <v>0</v>
      </c>
      <c r="M17" s="37">
        <f ca="1">(AI3+AL7+AN7+AO3+CO4+CP4+CY4-N17)</f>
        <v>8840.9362287999993</v>
      </c>
      <c r="N17" s="37">
        <f ca="1">(BB13+BE13+AZ13+AS3+AO7)</f>
        <v>977.19694380000033</v>
      </c>
      <c r="O17" s="38">
        <f t="shared" ca="1" si="115"/>
        <v>9818.1331725999989</v>
      </c>
      <c r="P17" s="39" t="s">
        <v>40</v>
      </c>
      <c r="Q17" s="2">
        <f t="shared" ca="1" si="21"/>
        <v>90882.61843670001</v>
      </c>
      <c r="R17" s="2">
        <f ca="1">COUNTIF(S1,"Ocak")*O15
+COUNTIF(S1,"Şubat")*O16
+COUNTIF(S1,"Mart")*O17
+COUNTIF(S1,"Nisan")*O18
+COUNTIF(S1,"Mayıs")*O19
+COUNTIF(S1,"Haziran")*O20
+COUNTIF(S1,"Temmuz")*O21
+COUNTIF(S1,"Ağustos")*O22
+COUNTIF(S1,"Eylül")*O23
+COUNTIF(S1,"Ekim")*O24
+COUNTIF(S1,"Kasım")*O25
+COUNTIF(S1,"Aralık")*O26
+COUNTIF(S1,"Yıllık Toplam")*(O27)*-1
+COUNTIF(S1,"Yıllık Ortalama")*(O28)*-1</f>
        <v>-90882.61843670001</v>
      </c>
      <c r="S17" s="68"/>
      <c r="T17" s="72"/>
      <c r="U17" s="39" t="s">
        <v>0</v>
      </c>
      <c r="V17" s="23" t="s">
        <v>0</v>
      </c>
      <c r="W17" s="74"/>
      <c r="X17" s="75"/>
      <c r="Y17" s="64"/>
      <c r="Z17" s="63"/>
      <c r="AA17" s="17" t="s">
        <v>90</v>
      </c>
      <c r="AB17" s="26">
        <v>222.29</v>
      </c>
      <c r="AC17" s="26">
        <v>222.29</v>
      </c>
      <c r="AD17" s="24">
        <f>(9500)</f>
        <v>9500</v>
      </c>
      <c r="AE17" s="7" t="s">
        <v>0</v>
      </c>
      <c r="AF17" s="8">
        <f>($AD$24*$AD$17)</f>
        <v>2236.7275</v>
      </c>
      <c r="AG17" s="8">
        <f>($AE$24*$AD$17)</f>
        <v>3169.2284999999997</v>
      </c>
      <c r="AH17" s="33">
        <f t="shared" si="107"/>
        <v>44682</v>
      </c>
      <c r="AI17" s="33">
        <f t="shared" si="87"/>
        <v>44712</v>
      </c>
      <c r="AJ17" s="34">
        <f t="shared" si="93"/>
        <v>31</v>
      </c>
      <c r="AK17" s="34">
        <f t="shared" si="94"/>
        <v>26</v>
      </c>
      <c r="AL17" s="34">
        <f t="shared" si="95"/>
        <v>5</v>
      </c>
      <c r="AM17" s="24" t="s">
        <v>0</v>
      </c>
      <c r="AN17" s="26">
        <f t="shared" ref="AN17:AN22" si="123">COUNTIFS($A$1,"İskele Baş Personeli-Üniversite")*($AC$1)
+COUNTIFS($A$1,"İskele Baş Personeli-MYO")*($AC$2)
+COUNTIFS($A$1,"İskele Baş Personeli-Lise")*($AC$3)
+COUNTIFS($A$1,"Gişe Memuru-Üniversite")*($AC$4)
+COUNTIFS($A$1,"Gişe Memuru-MYO")*($AC$5)
+COUNTIFS($A$1,"Gişe Memuru-Lise")*($AC$6)
+COUNTIFS($A$1,"Bakım Onarım Elektrik-Elektronik Ustası")*($AC$7)
+COUNTIFS($A$1,"Atölye Ustabaşı")*($AC$8)
+COUNTIFS($A$1,"Motor Ustabaşı Yardımcısı")*($AC$9)
+COUNTIFS($A$1,"Motor Teknisyeni")*($AC$10)
+COUNTIFS($A$1,"Elektrik Bakım Onarım Personeli")*($AC$11)
+COUNTIFS($A$1,"Kaynakçı")*($AC$12)
+COUNTIFS($A$1,"Motorcu")*($AC$13)
+COUNTIFS($A$1,"Elektrikçi")*($AC$14)
+COUNTIFS($A$1,"Marangoz")*($AC$15)
+COUNTIFS($A$1,"Marangoz Yardımcısı")*($AC$16)
+COUNTIFS($A$1,"Atölye Personeli")*($AC$17)
+COUNTIFS($A$1,"Ambar Personeli-MYO")*($AC$18)
+COUNTIFS($A$1,"Ambar Personeli-Lise")*($AC$19)
+COUNTIFS($A$1,"İskele Personeli")*($AC$20)
+COUNTIFS($A$1,"Temizlik Personeli")*($AC$21)
+COUNTIFS($A$1,"Güvenlik Personeli")*($AC$22)</f>
        <v>215.7</v>
      </c>
      <c r="AO17" s="26">
        <f t="shared" ca="1" si="71"/>
        <v>145.03883699999997</v>
      </c>
      <c r="AP17" s="26">
        <f t="shared" ref="AP17:AP22" si="124">COUNTIFS($A$1,"İskele Baş Personeli-Üniversite")*($AC$1)
+COUNTIFS($A$1,"İskele Baş Personeli-MYO")*($AC$2)
+COUNTIFS($A$1,"İskele Baş Personeli-Lise")*($AC$3)
+COUNTIFS($A$1,"Gişe Memuru-Üniversite")*($AC$4)
+COUNTIFS($A$1,"Gişe Memuru-MYO")*($AC$5)
+COUNTIFS($A$1,"Gişe Memuru-Lise")*($AC$6)
+COUNTIFS($A$1,"Bakım Onarım Elektrik-Elektronik Ustası")*($AC$7)
+COUNTIFS($A$1,"Atölye Ustabaşı")*($AC$8)
+COUNTIFS($A$1,"Motor Ustabaşı Yardımcısı")*($AC$9)
+COUNTIFS($A$1,"Motor Teknisyeni")*($AC$10)
+COUNTIFS($A$1,"Elektrik Bakım Onarım Personeli")*($AC$11)
+COUNTIFS($A$1,"Kaynakçı")*($AC$12)
+COUNTIFS($A$1,"Motorcu")*($AC$13)
+COUNTIFS($A$1,"Elektrikçi")*($AC$14)
+COUNTIFS($A$1,"Marangoz")*($AC$15)
+COUNTIFS($A$1,"Marangoz Yardımcısı")*($AC$16)
+COUNTIFS($A$1,"Atölye Personeli")*($AC$17)
+COUNTIFS($A$1,"Ambar Personeli-MYO")*($AC$18)
+COUNTIFS($A$1,"Ambar Personeli-Lise")*($AC$19)
+COUNTIFS($A$1,"İskele Personeli")*($AC$20)
+COUNTIFS($A$1,"Temizlik Personeli")*($AC$21)
+COUNTIFS($A$1,"Güvenlik Personeli")*($AC$22)</f>
        <v>215.7</v>
      </c>
      <c r="AQ17" s="8">
        <f ca="1">(AP17*DA8+BU10/30*-1+CX8/30)</f>
        <v>174.17766666666662</v>
      </c>
      <c r="AR17" s="26">
        <f t="shared" ref="AR17:AR22" si="125">COUNTIFS($A$1,"İskele Baş Personeli-Üniversite")*($AC$1)
+COUNTIFS($A$1,"İskele Baş Personeli-MYO")*($AC$2)
+COUNTIFS($A$1,"İskele Baş Personeli-Lise")*($AC$3)
+COUNTIFS($A$1,"Gişe Memuru-Üniversite")*($AC$4)
+COUNTIFS($A$1,"Gişe Memuru-MYO")*($AC$5)
+COUNTIFS($A$1,"Gişe Memuru-Lise")*($AC$6)
+COUNTIFS($A$1,"Bakım Onarım Elektrik-Elektronik Ustası")*($AC$7)
+COUNTIFS($A$1,"Atölye Ustabaşı")*($AC$8)
+COUNTIFS($A$1,"Motor Ustabaşı Yardımcısı")*($AC$9)
+COUNTIFS($A$1,"Motor Teknisyeni")*($AC$10)
+COUNTIFS($A$1,"Elektrik Bakım Onarım Personeli")*($AC$11)
+COUNTIFS($A$1,"Kaynakçı")*($AC$12)
+COUNTIFS($A$1,"Motorcu")*($AC$13)
+COUNTIFS($A$1,"Elektrikçi")*($AC$14)
+COUNTIFS($A$1,"Marangoz")*($AC$15)
+COUNTIFS($A$1,"Marangoz Yardımcısı")*($AC$16)
+COUNTIFS($A$1,"Atölye Personeli")*($AC$17)
+COUNTIFS($A$1,"Ambar Personeli-MYO")*($AC$18)
+COUNTIFS($A$1,"Ambar Personeli-Lise")*($AC$19)
+COUNTIFS($A$1,"İskele Personeli")*($AC$20)
+COUNTIFS($A$1,"Temizlik Personeli")*($AC$21)
+COUNTIFS($A$1,"Güvenlik Personeli")*($AC$22)</f>
        <v>215.7</v>
      </c>
      <c r="AS17" s="8">
        <f t="shared" ca="1" si="74"/>
        <v>145.03883699999997</v>
      </c>
      <c r="AT17" s="24" t="s">
        <v>0</v>
      </c>
      <c r="AU17" s="27">
        <f t="shared" si="75"/>
        <v>6686.7</v>
      </c>
      <c r="AV17" s="8">
        <f t="shared" ca="1" si="76"/>
        <v>4496.203947</v>
      </c>
      <c r="AW17" s="8">
        <f t="shared" si="77"/>
        <v>1269.8400000000001</v>
      </c>
      <c r="AX17" s="8">
        <f t="shared" si="78"/>
        <v>0</v>
      </c>
      <c r="AY17" s="8">
        <f t="shared" ca="1" si="79"/>
        <v>0</v>
      </c>
      <c r="AZ17" s="8">
        <f t="shared" ca="1" si="80"/>
        <v>0</v>
      </c>
      <c r="BA17" s="8">
        <f t="shared" si="81"/>
        <v>0</v>
      </c>
      <c r="BB17" s="8">
        <f t="shared" ca="1" si="82"/>
        <v>0</v>
      </c>
      <c r="BC17" s="8">
        <f t="shared" si="83"/>
        <v>0</v>
      </c>
      <c r="BD17" s="8">
        <f t="shared" si="84"/>
        <v>0</v>
      </c>
      <c r="BE17" s="8">
        <f t="shared" ca="1" si="85"/>
        <v>0</v>
      </c>
      <c r="BF17" s="8">
        <f t="shared" ref="BF17:BP17" ca="1" si="126">(AS1+AS2+AS3+AS4+BF9+BF10+BF11+BF12+BF13+BF14+BF15+BF16)</f>
        <v>10686.932892495264</v>
      </c>
      <c r="BG17" s="8">
        <f t="shared" si="126"/>
        <v>15286.920000000002</v>
      </c>
      <c r="BH17" s="8">
        <f t="shared" si="126"/>
        <v>15286.920000000002</v>
      </c>
      <c r="BI17" s="8">
        <f t="shared" si="126"/>
        <v>-116.02772280000001</v>
      </c>
      <c r="BJ17" s="8">
        <f t="shared" si="126"/>
        <v>3596.07</v>
      </c>
      <c r="BK17" s="8">
        <f t="shared" si="126"/>
        <v>11690.85</v>
      </c>
      <c r="BL17" s="8">
        <f t="shared" si="126"/>
        <v>-1636.7190000000003</v>
      </c>
      <c r="BM17" s="8">
        <f t="shared" si="126"/>
        <v>-116.90850000000002</v>
      </c>
      <c r="BN17" s="8">
        <f t="shared" si="126"/>
        <v>0</v>
      </c>
      <c r="BO17" s="8">
        <f t="shared" si="126"/>
        <v>13533.292500000001</v>
      </c>
      <c r="BP17" s="8">
        <f t="shared" ca="1" si="126"/>
        <v>-2730.331884704739</v>
      </c>
      <c r="BV17" s="8">
        <f t="shared" si="116"/>
        <v>-700.56000000000006</v>
      </c>
      <c r="BW17" s="8">
        <f t="shared" si="117"/>
        <v>-50.04</v>
      </c>
      <c r="BX17" s="40">
        <v>0.2</v>
      </c>
      <c r="BY17" s="8">
        <f>$BZ$16</f>
        <v>32000</v>
      </c>
      <c r="BZ17" s="8">
        <v>70000</v>
      </c>
      <c r="CA17" s="8">
        <f>(BZ16-BY16)*BX16+CA16</f>
        <v>4800</v>
      </c>
      <c r="CB17" s="8">
        <f>(0)</f>
        <v>0</v>
      </c>
      <c r="CC17" s="8">
        <f t="shared" si="118"/>
        <v>4253.3999999999996</v>
      </c>
      <c r="CD17" s="8">
        <f>SUM(CC$16:$CC17)</f>
        <v>8506.7999999999993</v>
      </c>
      <c r="CE17" s="12">
        <f t="shared" si="119"/>
        <v>0.15</v>
      </c>
      <c r="CF17" s="18">
        <f t="shared" ref="CF17:CF27" si="127">IF(CE17-CE16=0,0,1)</f>
        <v>0</v>
      </c>
      <c r="CG17" s="19">
        <f t="shared" si="120"/>
        <v>0.15</v>
      </c>
      <c r="CH17" s="8">
        <f>(ROUND(CC17*CG17,2))</f>
        <v>638.01</v>
      </c>
      <c r="CI17" s="19">
        <f t="shared" ref="CI17:CI27" si="128">(100+(100*0.00759*-1)+(100*0.01*-1)+(100*0.01*-1)+(100+100*0.14*-1+100*0.01*-1)*CG17*-1)/100</f>
        <v>0.84491000000000005</v>
      </c>
      <c r="CJ17" s="8">
        <f t="shared" si="121"/>
        <v>5004</v>
      </c>
      <c r="CK17" s="8">
        <f t="shared" si="122"/>
        <v>4253.3999999999996</v>
      </c>
      <c r="CL17" s="8" t="s">
        <v>0</v>
      </c>
      <c r="CM17" s="28" t="s">
        <v>0</v>
      </c>
      <c r="CN17" s="28" t="s">
        <v>0</v>
      </c>
      <c r="DC17" s="7">
        <v>15</v>
      </c>
      <c r="DD17" s="20">
        <v>7.5</v>
      </c>
      <c r="DE17" s="21">
        <v>0.17</v>
      </c>
      <c r="DF17" s="22"/>
    </row>
    <row r="18" spans="1:110" ht="39.950000000000003" customHeight="1" x14ac:dyDescent="0.25">
      <c r="A18" s="35">
        <f t="shared" ca="1" si="106"/>
        <v>0.15</v>
      </c>
      <c r="B18" s="36" t="s">
        <v>13</v>
      </c>
      <c r="C18" s="54">
        <v>0</v>
      </c>
      <c r="D18" s="55">
        <v>0</v>
      </c>
      <c r="E18" s="55">
        <v>0</v>
      </c>
      <c r="F18" s="55">
        <v>0</v>
      </c>
      <c r="G18" s="54">
        <v>26</v>
      </c>
      <c r="H18" s="54">
        <v>0</v>
      </c>
      <c r="I18" s="56" t="s">
        <v>1</v>
      </c>
      <c r="J18" s="56" t="s">
        <v>1</v>
      </c>
      <c r="K18" s="56" t="s">
        <v>1</v>
      </c>
      <c r="L18" s="57">
        <v>0</v>
      </c>
      <c r="M18" s="37">
        <f ca="1">(AI4+AL8+AN8+AO4+CO5+CP5+CY5-N18)</f>
        <v>5004.4364557000017</v>
      </c>
      <c r="N18" s="37">
        <f ca="1">(BB14+BE14+AZ14+AS4+AO8)</f>
        <v>941.00446439999996</v>
      </c>
      <c r="O18" s="38">
        <f t="shared" ca="1" si="115"/>
        <v>5945.4409201000017</v>
      </c>
      <c r="P18" s="39" t="s">
        <v>41</v>
      </c>
      <c r="Q18" s="2">
        <f t="shared" ca="1" si="21"/>
        <v>31312.251563299986</v>
      </c>
      <c r="R18" s="2">
        <f ca="1">COUNTIF(S1,"Ocak")*(AI1-O15)
+COUNTIF(S1,"Şubat")*(AI2-O16)
+COUNTIF(S1,"Mart")*(AI3-O17)
+COUNTIF(S1,"Nisan")*(AI4-O18)
+COUNTIF(S1,"Mayıs")*(BR8-O19)
+COUNTIF(S1,"Haziran")*(BR9-O20)
+COUNTIF(S1,"Temmuz")*(BR10-O21)
+COUNTIF(S1,"Ağustos")*(BR11-O22)
+COUNTIF(S1,"Eylül")*(BR12-O23)
+COUNTIF(S1,"Ekim")*(BR13-O24)
+COUNTIF(S1,"Kasım")*(BR14-O25)
+COUNTIF(S1,"Aralık")*(AO25-O26)
+COUNTIF(S1,"Yıllık Toplam")*(AO26-O27)*-1
+COUNTIF(S1,"Yıllık Ortalama")*(AO27-O28)*-1</f>
        <v>-31312.251563299986</v>
      </c>
      <c r="S18" s="68"/>
      <c r="T18" s="72"/>
      <c r="U18" s="39" t="s">
        <v>0</v>
      </c>
      <c r="V18" s="23" t="s">
        <v>0</v>
      </c>
      <c r="W18" s="74"/>
      <c r="X18" s="75"/>
      <c r="Y18" s="64"/>
      <c r="Z18" s="63"/>
      <c r="AA18" s="17" t="s">
        <v>91</v>
      </c>
      <c r="AB18" s="26">
        <v>202.56</v>
      </c>
      <c r="AC18" s="5">
        <v>215.7</v>
      </c>
      <c r="AD18" s="7">
        <f>(1500)</f>
        <v>1500</v>
      </c>
      <c r="AE18" s="7" t="s">
        <v>0</v>
      </c>
      <c r="AF18" s="8">
        <f>($AD$24*$AD$18)</f>
        <v>353.16749999999996</v>
      </c>
      <c r="AG18" s="8">
        <f>($AE$24*$AD$18)</f>
        <v>500.40449999999998</v>
      </c>
      <c r="AH18" s="33">
        <f t="shared" si="107"/>
        <v>44713</v>
      </c>
      <c r="AI18" s="33">
        <f t="shared" si="87"/>
        <v>44742</v>
      </c>
      <c r="AJ18" s="34">
        <f t="shared" si="93"/>
        <v>30</v>
      </c>
      <c r="AK18" s="34">
        <f t="shared" si="94"/>
        <v>26</v>
      </c>
      <c r="AL18" s="34">
        <f t="shared" si="95"/>
        <v>4</v>
      </c>
      <c r="AM18" s="24" t="s">
        <v>0</v>
      </c>
      <c r="AN18" s="26">
        <f t="shared" si="123"/>
        <v>215.7</v>
      </c>
      <c r="AO18" s="26">
        <f ca="1">(AN18*CE9)</f>
        <v>145.03883699999997</v>
      </c>
      <c r="AP18" s="26">
        <f t="shared" si="124"/>
        <v>215.7</v>
      </c>
      <c r="AQ18" s="8">
        <f ca="1">(AP18*CE9+BU11/30*-1+CB9/30)</f>
        <v>181.71299999999997</v>
      </c>
      <c r="AR18" s="26">
        <f t="shared" si="125"/>
        <v>215.7</v>
      </c>
      <c r="AS18" s="8">
        <f ca="1">(AR18*CE9)</f>
        <v>145.03883699999997</v>
      </c>
      <c r="AT18" s="24" t="s">
        <v>0</v>
      </c>
      <c r="AU18" s="27">
        <f t="shared" si="75"/>
        <v>6686.7</v>
      </c>
      <c r="AV18" s="8">
        <f ca="1">(AU18*CE9)</f>
        <v>4496.203947</v>
      </c>
      <c r="AW18" s="8">
        <f t="shared" si="77"/>
        <v>1318.68</v>
      </c>
      <c r="AX18" s="8">
        <f t="shared" si="78"/>
        <v>0</v>
      </c>
      <c r="AY18" s="8">
        <f ca="1">(AX18*CE9)</f>
        <v>0</v>
      </c>
      <c r="AZ18" s="8">
        <f ca="1">(BC18*CE9)</f>
        <v>0</v>
      </c>
      <c r="BA18" s="8">
        <f t="shared" si="81"/>
        <v>0</v>
      </c>
      <c r="BB18" s="8">
        <f ca="1">(BA18*CE9)</f>
        <v>0</v>
      </c>
      <c r="BC18" s="8">
        <f t="shared" si="83"/>
        <v>0</v>
      </c>
      <c r="BD18" s="8">
        <f t="shared" si="84"/>
        <v>0</v>
      </c>
      <c r="BE18" s="8">
        <f ca="1">(BD18*CE9)</f>
        <v>0</v>
      </c>
      <c r="BF18" s="8">
        <f ca="1">(BF17/12)</f>
        <v>890.57774104127202</v>
      </c>
      <c r="BG18" s="8">
        <f t="shared" ref="BG18:BP18" si="129">(BG17/12)</f>
        <v>1273.9100000000001</v>
      </c>
      <c r="BH18" s="8">
        <f t="shared" si="129"/>
        <v>1273.9100000000001</v>
      </c>
      <c r="BI18" s="8">
        <f t="shared" si="129"/>
        <v>-9.6689769000000005</v>
      </c>
      <c r="BJ18" s="8">
        <f t="shared" si="129"/>
        <v>299.67250000000001</v>
      </c>
      <c r="BK18" s="8">
        <f t="shared" si="129"/>
        <v>974.23750000000007</v>
      </c>
      <c r="BL18" s="8">
        <f t="shared" si="129"/>
        <v>-136.39325000000002</v>
      </c>
      <c r="BM18" s="8">
        <f t="shared" si="129"/>
        <v>-9.7423750000000009</v>
      </c>
      <c r="BN18" s="8">
        <f t="shared" si="129"/>
        <v>0</v>
      </c>
      <c r="BO18" s="8">
        <f t="shared" si="129"/>
        <v>1127.7743750000002</v>
      </c>
      <c r="BP18" s="8">
        <f t="shared" ca="1" si="129"/>
        <v>-227.52765705872824</v>
      </c>
      <c r="BV18" s="8">
        <f t="shared" si="116"/>
        <v>-700.56000000000006</v>
      </c>
      <c r="BW18" s="8">
        <f t="shared" si="117"/>
        <v>-50.04</v>
      </c>
      <c r="BX18" s="40">
        <v>0.27</v>
      </c>
      <c r="BY18" s="8">
        <f>$BZ$17</f>
        <v>70000</v>
      </c>
      <c r="BZ18" s="8">
        <v>250000</v>
      </c>
      <c r="CA18" s="8">
        <f>(BZ17-BY17)*BX17+CA17</f>
        <v>12400</v>
      </c>
      <c r="CB18" s="8">
        <f>(0)</f>
        <v>0</v>
      </c>
      <c r="CC18" s="8">
        <f t="shared" si="118"/>
        <v>4253.3999999999996</v>
      </c>
      <c r="CD18" s="8">
        <f>SUM(CC$16:$CC18)</f>
        <v>12760.199999999999</v>
      </c>
      <c r="CE18" s="12">
        <f t="shared" si="119"/>
        <v>0.15</v>
      </c>
      <c r="CF18" s="18">
        <f t="shared" si="127"/>
        <v>0</v>
      </c>
      <c r="CG18" s="19">
        <f t="shared" si="120"/>
        <v>0.15</v>
      </c>
      <c r="CH18" s="8">
        <f t="shared" ref="CH18:CH27" si="130">(ROUND(CC18*CG18,2))</f>
        <v>638.01</v>
      </c>
      <c r="CI18" s="19">
        <f t="shared" si="128"/>
        <v>0.84491000000000005</v>
      </c>
      <c r="CJ18" s="8">
        <f t="shared" si="121"/>
        <v>5004</v>
      </c>
      <c r="CK18" s="8">
        <f t="shared" si="122"/>
        <v>4253.3999999999996</v>
      </c>
      <c r="CL18" s="8" t="s">
        <v>0</v>
      </c>
      <c r="CM18" s="28" t="s">
        <v>0</v>
      </c>
      <c r="CN18" s="28" t="s">
        <v>0</v>
      </c>
      <c r="DC18" s="7">
        <v>16</v>
      </c>
      <c r="DD18" s="20">
        <v>8</v>
      </c>
      <c r="DE18" s="21">
        <v>0.18</v>
      </c>
      <c r="DF18" s="22"/>
    </row>
    <row r="19" spans="1:110" ht="39.950000000000003" customHeight="1" x14ac:dyDescent="0.25">
      <c r="A19" s="35">
        <f t="shared" ca="1" si="106"/>
        <v>0.18001827614401503</v>
      </c>
      <c r="B19" s="36" t="s">
        <v>14</v>
      </c>
      <c r="C19" s="54">
        <v>0</v>
      </c>
      <c r="D19" s="55">
        <v>0</v>
      </c>
      <c r="E19" s="55">
        <v>0</v>
      </c>
      <c r="F19" s="55">
        <v>0</v>
      </c>
      <c r="G19" s="54">
        <v>26</v>
      </c>
      <c r="H19" s="54">
        <v>0</v>
      </c>
      <c r="I19" s="56" t="s">
        <v>1</v>
      </c>
      <c r="J19" s="56" t="s">
        <v>1</v>
      </c>
      <c r="K19" s="56" t="s">
        <v>1</v>
      </c>
      <c r="L19" s="57">
        <v>0</v>
      </c>
      <c r="M19" s="37">
        <f ca="1">(BR8+AL9+AN9+BX8+CO6+CP6+CY6-N19)</f>
        <v>4969.2385808942954</v>
      </c>
      <c r="N19" s="37">
        <f ca="1">(BB15+BE15+AZ15+BF9+AO9)</f>
        <v>907.43193430570511</v>
      </c>
      <c r="O19" s="38">
        <f t="shared" ca="1" si="115"/>
        <v>5876.6705152000004</v>
      </c>
      <c r="P19" s="1" t="s">
        <v>0</v>
      </c>
      <c r="Q19" s="2" t="s">
        <v>0</v>
      </c>
      <c r="R19" s="2" t="s">
        <v>0</v>
      </c>
      <c r="S19" s="68"/>
      <c r="T19" s="72"/>
      <c r="U19" s="39" t="s">
        <v>0</v>
      </c>
      <c r="V19" s="23" t="s">
        <v>0</v>
      </c>
      <c r="W19" s="74"/>
      <c r="X19" s="75"/>
      <c r="Y19" s="64"/>
      <c r="Z19" s="63"/>
      <c r="AA19" s="17" t="s">
        <v>92</v>
      </c>
      <c r="AB19" s="26">
        <v>200.73</v>
      </c>
      <c r="AC19" s="5">
        <v>215.7</v>
      </c>
      <c r="AD19" s="7">
        <f>(8000)</f>
        <v>8000</v>
      </c>
      <c r="AE19" s="7" t="s">
        <v>0</v>
      </c>
      <c r="AF19" s="8">
        <f>($AD$24*$AD$19)</f>
        <v>1883.56</v>
      </c>
      <c r="AG19" s="8">
        <f>($AE$24*$AD$19)</f>
        <v>2668.8240000000001</v>
      </c>
      <c r="AH19" s="33">
        <f t="shared" si="107"/>
        <v>44743</v>
      </c>
      <c r="AI19" s="33">
        <f t="shared" si="87"/>
        <v>44773</v>
      </c>
      <c r="AJ19" s="34">
        <f t="shared" si="93"/>
        <v>31</v>
      </c>
      <c r="AK19" s="34">
        <f t="shared" si="94"/>
        <v>26</v>
      </c>
      <c r="AL19" s="34">
        <f t="shared" si="95"/>
        <v>5</v>
      </c>
      <c r="AM19" s="24" t="s">
        <v>0</v>
      </c>
      <c r="AN19" s="26">
        <f t="shared" si="123"/>
        <v>215.7</v>
      </c>
      <c r="AO19" s="26">
        <f ca="1">(AN19*CE10)</f>
        <v>140.61766232489239</v>
      </c>
      <c r="AP19" s="26">
        <f t="shared" si="124"/>
        <v>215.7</v>
      </c>
      <c r="AQ19" s="8">
        <f ca="1">(AP19*CE10+BU12/30*-1+CB10/30)</f>
        <v>178.92382532489239</v>
      </c>
      <c r="AR19" s="26">
        <f t="shared" si="125"/>
        <v>215.7</v>
      </c>
      <c r="AS19" s="8">
        <f ca="1">(AR19*CE10)</f>
        <v>140.61766232489239</v>
      </c>
      <c r="AT19" s="24" t="s">
        <v>0</v>
      </c>
      <c r="AU19" s="27">
        <f t="shared" si="75"/>
        <v>6471</v>
      </c>
      <c r="AV19" s="8">
        <f ca="1">(AU19*CE10)</f>
        <v>4218.5298697467715</v>
      </c>
      <c r="AW19" s="8">
        <f t="shared" si="77"/>
        <v>1269.8400000000001</v>
      </c>
      <c r="AX19" s="8">
        <f t="shared" si="78"/>
        <v>0</v>
      </c>
      <c r="AY19" s="8">
        <f ca="1">(AX19*CE10)</f>
        <v>0</v>
      </c>
      <c r="AZ19" s="8">
        <f ca="1">(BC19*CE10)</f>
        <v>0</v>
      </c>
      <c r="BA19" s="8">
        <f t="shared" si="81"/>
        <v>0</v>
      </c>
      <c r="BB19" s="8">
        <f ca="1">(BA19*CE10)</f>
        <v>0</v>
      </c>
      <c r="BC19" s="8">
        <f t="shared" si="83"/>
        <v>0</v>
      </c>
      <c r="BD19" s="8">
        <f t="shared" si="84"/>
        <v>0</v>
      </c>
      <c r="BE19" s="8">
        <f ca="1">(BD19*CE10)</f>
        <v>0</v>
      </c>
      <c r="BF19" s="10">
        <v>0</v>
      </c>
      <c r="BG19" s="8">
        <f t="shared" ref="BG19:BG25" ca="1" si="131">(BH19/DA2/30*BF19)</f>
        <v>0</v>
      </c>
      <c r="BH19" s="8">
        <f t="shared" ref="BH19:BH25" si="132">(0/30*BF19)</f>
        <v>0</v>
      </c>
      <c r="BI19" s="8">
        <f>(0)</f>
        <v>0</v>
      </c>
      <c r="BJ19" s="8">
        <f>(0)</f>
        <v>0</v>
      </c>
      <c r="BK19" s="8">
        <f>(0)</f>
        <v>0</v>
      </c>
      <c r="BL19" s="10">
        <v>0</v>
      </c>
      <c r="BM19" s="8">
        <f t="shared" ref="BM19:BM25" si="133">(AR11*BL19)</f>
        <v>0</v>
      </c>
      <c r="BN19" s="8">
        <f t="shared" ref="BN19:BN25" ca="1" si="134">(BM19*DA2)</f>
        <v>0</v>
      </c>
      <c r="BO19" s="10">
        <v>30</v>
      </c>
      <c r="BP19" s="8">
        <f t="shared" ref="BP19:BP25" si="135">(1046.47/30*BO19)</f>
        <v>1046.47</v>
      </c>
      <c r="BQ19" s="8">
        <f t="shared" ref="BQ19:BQ25" ca="1" si="136">(BP19*DA2)</f>
        <v>748.13186770000004</v>
      </c>
      <c r="BS19" s="8">
        <f t="shared" ref="BS19:BS25" si="137">COUNTIF($A$1,"İskele Baş Personeli-Üniversite")*(223.5/30*H15)
+COUNTIF($A$1,"İskele Baş Personeli-MYO")*(223.5/30*H15)
+COUNTIF($A$1,"İskele Baş Personeli-Lise")*(223.5/30*H15)
+COUNTIF($A$1,"Gişe Memuru-Üniversite")*(223.5/30*H15)
+COUNTIF($A$1,"Gişe Memuru-MYO")*(223.5/30*H15)
+COUNTIF($A$1,"Gişe Memuru-Lise")*(223.5/30*H15)</f>
        <v>0</v>
      </c>
      <c r="BT19" s="8">
        <f t="shared" ref="BT19:BT25" ca="1" si="138">(BS19*DA2)</f>
        <v>0</v>
      </c>
      <c r="BU19" s="8">
        <f t="shared" ref="BU19:BU25" si="139">(BS19)</f>
        <v>0</v>
      </c>
      <c r="BV19" s="8">
        <f t="shared" si="116"/>
        <v>-700.56000000000006</v>
      </c>
      <c r="BW19" s="8">
        <f t="shared" si="117"/>
        <v>-50.04</v>
      </c>
      <c r="BX19" s="40">
        <v>0.35</v>
      </c>
      <c r="BY19" s="8">
        <f>$BZ$18</f>
        <v>250000</v>
      </c>
      <c r="BZ19" s="8">
        <v>880000</v>
      </c>
      <c r="CA19" s="8">
        <f>(BZ18-BY18)*BX18+CA18</f>
        <v>61000</v>
      </c>
      <c r="CB19" s="8">
        <f>(0)</f>
        <v>0</v>
      </c>
      <c r="CC19" s="8">
        <f t="shared" si="118"/>
        <v>4253.3999999999996</v>
      </c>
      <c r="CD19" s="8">
        <f>SUM(CC$16:$CC19)</f>
        <v>17013.599999999999</v>
      </c>
      <c r="CE19" s="12">
        <f t="shared" si="119"/>
        <v>0.15</v>
      </c>
      <c r="CF19" s="18">
        <f t="shared" si="127"/>
        <v>0</v>
      </c>
      <c r="CG19" s="19">
        <f t="shared" si="120"/>
        <v>0.15</v>
      </c>
      <c r="CH19" s="8">
        <f t="shared" si="130"/>
        <v>638.01</v>
      </c>
      <c r="CI19" s="19">
        <f t="shared" si="128"/>
        <v>0.84491000000000005</v>
      </c>
      <c r="CJ19" s="8">
        <f t="shared" si="121"/>
        <v>5004</v>
      </c>
      <c r="CK19" s="8">
        <f t="shared" si="122"/>
        <v>4253.3999999999996</v>
      </c>
      <c r="CL19" s="8" t="s">
        <v>0</v>
      </c>
      <c r="CM19" s="28" t="s">
        <v>0</v>
      </c>
      <c r="CN19" s="28" t="s">
        <v>0</v>
      </c>
      <c r="DC19" s="7">
        <v>17</v>
      </c>
      <c r="DD19" s="20">
        <v>8.5</v>
      </c>
      <c r="DE19" s="21">
        <v>0.19</v>
      </c>
      <c r="DF19" s="22"/>
    </row>
    <row r="20" spans="1:110" ht="39.950000000000003" customHeight="1" x14ac:dyDescent="0.25">
      <c r="A20" s="35">
        <f t="shared" ca="1" si="106"/>
        <v>0.2</v>
      </c>
      <c r="B20" s="36" t="s">
        <v>15</v>
      </c>
      <c r="C20" s="54">
        <v>0</v>
      </c>
      <c r="D20" s="55">
        <v>0</v>
      </c>
      <c r="E20" s="55">
        <v>0</v>
      </c>
      <c r="F20" s="55">
        <v>0</v>
      </c>
      <c r="G20" s="54">
        <v>26</v>
      </c>
      <c r="H20" s="54">
        <v>0</v>
      </c>
      <c r="I20" s="56" t="s">
        <v>1</v>
      </c>
      <c r="J20" s="56" t="s">
        <v>1</v>
      </c>
      <c r="K20" s="56" t="s">
        <v>1</v>
      </c>
      <c r="L20" s="57">
        <v>0</v>
      </c>
      <c r="M20" s="37">
        <f ca="1">(BR9+AL10+AN10+BX9+CO7+CP7+CY7-N20)</f>
        <v>8239.0644587000006</v>
      </c>
      <c r="N20" s="37">
        <f ca="1">(BB16+BE16+AZ16+BF10+AO10)</f>
        <v>885.08431439999993</v>
      </c>
      <c r="O20" s="38">
        <f t="shared" ca="1" si="115"/>
        <v>9124.1487730999997</v>
      </c>
      <c r="P20" s="1" t="s">
        <v>0</v>
      </c>
      <c r="Q20" s="2" t="s">
        <v>0</v>
      </c>
      <c r="R20" s="2" t="s">
        <v>0</v>
      </c>
      <c r="S20" s="68"/>
      <c r="T20" s="72"/>
      <c r="U20" s="39" t="s">
        <v>0</v>
      </c>
      <c r="V20" s="23" t="s">
        <v>0</v>
      </c>
      <c r="W20" s="74"/>
      <c r="X20" s="75"/>
      <c r="Y20" s="64"/>
      <c r="Z20" s="63"/>
      <c r="AA20" s="17" t="s">
        <v>93</v>
      </c>
      <c r="AB20" s="26">
        <v>166.8</v>
      </c>
      <c r="AC20" s="5">
        <v>215.7</v>
      </c>
      <c r="AD20" s="7">
        <f>(500)</f>
        <v>500</v>
      </c>
      <c r="AE20" s="7" t="s">
        <v>0</v>
      </c>
      <c r="AF20" s="8">
        <f>($AD$24*$AD$20)</f>
        <v>117.7225</v>
      </c>
      <c r="AG20" s="8">
        <f>($AE$24*$AD$20)</f>
        <v>166.8015</v>
      </c>
      <c r="AH20" s="33">
        <f t="shared" si="107"/>
        <v>44774</v>
      </c>
      <c r="AI20" s="33">
        <f t="shared" si="87"/>
        <v>44804</v>
      </c>
      <c r="AJ20" s="34">
        <f t="shared" si="93"/>
        <v>31</v>
      </c>
      <c r="AK20" s="34">
        <f t="shared" si="94"/>
        <v>27</v>
      </c>
      <c r="AL20" s="34">
        <f t="shared" si="95"/>
        <v>4</v>
      </c>
      <c r="AM20" s="24" t="s">
        <v>0</v>
      </c>
      <c r="AN20" s="26">
        <f t="shared" si="123"/>
        <v>215.7</v>
      </c>
      <c r="AO20" s="26">
        <f ca="1">(AN20*CE11)</f>
        <v>132.20468699999998</v>
      </c>
      <c r="AP20" s="26">
        <f t="shared" si="124"/>
        <v>215.7</v>
      </c>
      <c r="AQ20" s="8">
        <f ca="1">(AP20*CE11+BU13/30*-1+CB11/30)</f>
        <v>170.51084999999995</v>
      </c>
      <c r="AR20" s="26">
        <f t="shared" si="125"/>
        <v>215.7</v>
      </c>
      <c r="AS20" s="8">
        <f ca="1">(AR20*CE11)</f>
        <v>132.20468699999998</v>
      </c>
      <c r="AT20" s="24" t="s">
        <v>0</v>
      </c>
      <c r="AU20" s="27">
        <f t="shared" si="75"/>
        <v>6686.7</v>
      </c>
      <c r="AV20" s="8">
        <f ca="1">(AU20*CE11)</f>
        <v>4098.3452969999998</v>
      </c>
      <c r="AW20" s="8">
        <f t="shared" si="77"/>
        <v>1269.8400000000001</v>
      </c>
      <c r="AX20" s="8">
        <f t="shared" si="78"/>
        <v>0</v>
      </c>
      <c r="AY20" s="8">
        <f ca="1">(AX20*CE11)</f>
        <v>0</v>
      </c>
      <c r="AZ20" s="8">
        <f ca="1">(BC20*CE11)</f>
        <v>0</v>
      </c>
      <c r="BA20" s="8">
        <f t="shared" si="81"/>
        <v>0</v>
      </c>
      <c r="BB20" s="8">
        <f ca="1">(BA20*CE11)</f>
        <v>0</v>
      </c>
      <c r="BC20" s="8">
        <f t="shared" si="83"/>
        <v>0</v>
      </c>
      <c r="BD20" s="8">
        <f t="shared" si="84"/>
        <v>0</v>
      </c>
      <c r="BE20" s="8">
        <f ca="1">(BD20*CE11)</f>
        <v>0</v>
      </c>
      <c r="BF20" s="10">
        <v>0</v>
      </c>
      <c r="BG20" s="8">
        <f t="shared" ca="1" si="131"/>
        <v>0</v>
      </c>
      <c r="BH20" s="8">
        <f t="shared" si="132"/>
        <v>0</v>
      </c>
      <c r="BI20" s="8">
        <f>(0)</f>
        <v>0</v>
      </c>
      <c r="BJ20" s="8">
        <f>(0)</f>
        <v>0</v>
      </c>
      <c r="BK20" s="8">
        <f>(0)</f>
        <v>0</v>
      </c>
      <c r="BL20" s="10">
        <v>0</v>
      </c>
      <c r="BM20" s="8">
        <f t="shared" si="133"/>
        <v>0</v>
      </c>
      <c r="BN20" s="8">
        <f t="shared" ca="1" si="134"/>
        <v>0</v>
      </c>
      <c r="BO20" s="10">
        <v>30</v>
      </c>
      <c r="BP20" s="8">
        <f t="shared" si="135"/>
        <v>1046.47</v>
      </c>
      <c r="BQ20" s="8">
        <f t="shared" ca="1" si="136"/>
        <v>748.13186770000004</v>
      </c>
      <c r="BS20" s="8">
        <f t="shared" si="137"/>
        <v>0</v>
      </c>
      <c r="BT20" s="8">
        <f t="shared" ca="1" si="138"/>
        <v>0</v>
      </c>
      <c r="BU20" s="8">
        <f t="shared" si="139"/>
        <v>0</v>
      </c>
      <c r="BV20" s="8">
        <f t="shared" si="116"/>
        <v>-700.56000000000006</v>
      </c>
      <c r="BW20" s="8">
        <f t="shared" si="117"/>
        <v>-50.04</v>
      </c>
      <c r="BX20" s="40">
        <v>0.4</v>
      </c>
      <c r="BY20" s="41">
        <f>$BZ$19</f>
        <v>880000</v>
      </c>
      <c r="BZ20" s="8">
        <v>999999999</v>
      </c>
      <c r="CA20" s="8">
        <f>(BZ19-BY19)*BX19+CA19</f>
        <v>281500</v>
      </c>
      <c r="CB20" s="8">
        <f>(0)</f>
        <v>0</v>
      </c>
      <c r="CC20" s="8">
        <f t="shared" si="118"/>
        <v>4253.3999999999996</v>
      </c>
      <c r="CD20" s="8">
        <f>SUM(CC$16:$CC20)</f>
        <v>21267</v>
      </c>
      <c r="CE20" s="12">
        <f t="shared" si="119"/>
        <v>0.15</v>
      </c>
      <c r="CF20" s="18">
        <f t="shared" si="127"/>
        <v>0</v>
      </c>
      <c r="CG20" s="19">
        <f t="shared" si="120"/>
        <v>0.15</v>
      </c>
      <c r="CH20" s="8">
        <f t="shared" si="130"/>
        <v>638.01</v>
      </c>
      <c r="CI20" s="19">
        <f t="shared" si="128"/>
        <v>0.84491000000000005</v>
      </c>
      <c r="CJ20" s="8">
        <f t="shared" si="121"/>
        <v>5004</v>
      </c>
      <c r="CK20" s="8">
        <f t="shared" si="122"/>
        <v>4253.3999999999996</v>
      </c>
      <c r="CL20" s="8" t="s">
        <v>0</v>
      </c>
      <c r="CM20" s="28" t="s">
        <v>0</v>
      </c>
      <c r="CN20" s="28" t="s">
        <v>0</v>
      </c>
      <c r="DC20" s="7">
        <v>18</v>
      </c>
      <c r="DD20" s="20">
        <v>9</v>
      </c>
      <c r="DE20" s="21">
        <v>0.2</v>
      </c>
      <c r="DF20" s="22"/>
    </row>
    <row r="21" spans="1:110" ht="39.950000000000003" customHeight="1" x14ac:dyDescent="0.25">
      <c r="A21" s="35">
        <f t="shared" ca="1" si="106"/>
        <v>0.2</v>
      </c>
      <c r="B21" s="36" t="s">
        <v>16</v>
      </c>
      <c r="C21" s="54">
        <v>0</v>
      </c>
      <c r="D21" s="55">
        <v>0</v>
      </c>
      <c r="E21" s="55">
        <v>0</v>
      </c>
      <c r="F21" s="55">
        <v>0</v>
      </c>
      <c r="G21" s="54">
        <v>26</v>
      </c>
      <c r="H21" s="54">
        <v>0</v>
      </c>
      <c r="I21" s="56" t="s">
        <v>1</v>
      </c>
      <c r="J21" s="56" t="s">
        <v>1</v>
      </c>
      <c r="K21" s="56" t="s">
        <v>1</v>
      </c>
      <c r="L21" s="57">
        <v>0</v>
      </c>
      <c r="M21" s="37">
        <f ca="1">(BR10+AL11+BD1+BX10+CO8+CP8+CY8-N21)</f>
        <v>5918.7206297000012</v>
      </c>
      <c r="N21" s="37">
        <f t="shared" ref="N21:N26" ca="1" si="140">(BB17+BE17+AZ17+BF11+BE1)</f>
        <v>894.22591440000008</v>
      </c>
      <c r="O21" s="38">
        <f t="shared" ca="1" si="115"/>
        <v>6812.9465441000011</v>
      </c>
      <c r="P21" s="1" t="s">
        <v>0</v>
      </c>
      <c r="Q21" s="2" t="s">
        <v>0</v>
      </c>
      <c r="R21" s="2" t="s">
        <v>0</v>
      </c>
      <c r="S21" s="68"/>
      <c r="T21" s="72"/>
      <c r="U21" s="39" t="s">
        <v>0</v>
      </c>
      <c r="V21" s="23" t="s">
        <v>0</v>
      </c>
      <c r="W21" s="74"/>
      <c r="X21" s="75"/>
      <c r="Y21" s="64"/>
      <c r="Z21" s="63"/>
      <c r="AA21" s="17" t="s">
        <v>94</v>
      </c>
      <c r="AB21" s="26">
        <v>166.8</v>
      </c>
      <c r="AC21" s="5">
        <v>215.7</v>
      </c>
      <c r="AD21" s="7">
        <f>(1000)</f>
        <v>1000</v>
      </c>
      <c r="AE21" s="7" t="s">
        <v>0</v>
      </c>
      <c r="AF21" s="8">
        <f>($AD$25*$AD$21)</f>
        <v>3685.18</v>
      </c>
      <c r="AG21" s="8">
        <f>($AE$25*$AD$21)</f>
        <v>5221.5320000000002</v>
      </c>
      <c r="AH21" s="33">
        <f t="shared" si="107"/>
        <v>44805</v>
      </c>
      <c r="AI21" s="33">
        <f t="shared" si="87"/>
        <v>44834</v>
      </c>
      <c r="AJ21" s="34">
        <f t="shared" si="93"/>
        <v>30</v>
      </c>
      <c r="AK21" s="34">
        <f t="shared" si="94"/>
        <v>26</v>
      </c>
      <c r="AL21" s="34">
        <f t="shared" si="95"/>
        <v>4</v>
      </c>
      <c r="AM21" s="24" t="s">
        <v>0</v>
      </c>
      <c r="AN21" s="26">
        <f t="shared" si="123"/>
        <v>215.7</v>
      </c>
      <c r="AO21" s="26">
        <f ca="1">(AN21*CE12)</f>
        <v>132.20468699999998</v>
      </c>
      <c r="AP21" s="26">
        <f t="shared" si="124"/>
        <v>215.7</v>
      </c>
      <c r="AQ21" s="8">
        <f ca="1">(AP21*CE12+BU14/30*-1+CB12/30)</f>
        <v>170.51084999999995</v>
      </c>
      <c r="AR21" s="26">
        <f t="shared" si="125"/>
        <v>215.7</v>
      </c>
      <c r="AS21" s="8">
        <f ca="1">(AR21*CE12)</f>
        <v>132.20468699999998</v>
      </c>
      <c r="AT21" s="24" t="s">
        <v>0</v>
      </c>
      <c r="AU21" s="27">
        <f t="shared" si="75"/>
        <v>6471</v>
      </c>
      <c r="AV21" s="8">
        <f ca="1">(AU21*CE12)</f>
        <v>3966.1406099999999</v>
      </c>
      <c r="AW21" s="8">
        <f t="shared" si="77"/>
        <v>1269.8400000000001</v>
      </c>
      <c r="AX21" s="8">
        <f t="shared" si="78"/>
        <v>0</v>
      </c>
      <c r="AY21" s="8">
        <f ca="1">(AX21*CE12)</f>
        <v>0</v>
      </c>
      <c r="AZ21" s="8">
        <f ca="1">(BC21*CE12)</f>
        <v>0</v>
      </c>
      <c r="BA21" s="8">
        <f t="shared" si="81"/>
        <v>0</v>
      </c>
      <c r="BB21" s="8">
        <f ca="1">(BA21*CE12)</f>
        <v>0</v>
      </c>
      <c r="BC21" s="8">
        <f t="shared" si="83"/>
        <v>0</v>
      </c>
      <c r="BD21" s="8">
        <f t="shared" si="84"/>
        <v>0</v>
      </c>
      <c r="BE21" s="8">
        <f ca="1">(BD21*CE12)</f>
        <v>0</v>
      </c>
      <c r="BF21" s="10">
        <v>0</v>
      </c>
      <c r="BG21" s="8">
        <f t="shared" ca="1" si="131"/>
        <v>0</v>
      </c>
      <c r="BH21" s="8">
        <f t="shared" si="132"/>
        <v>0</v>
      </c>
      <c r="BI21" s="8">
        <f>(0)</f>
        <v>0</v>
      </c>
      <c r="BJ21" s="8">
        <f>(0)</f>
        <v>0</v>
      </c>
      <c r="BK21" s="8">
        <f>(0)</f>
        <v>0</v>
      </c>
      <c r="BL21" s="10">
        <v>30</v>
      </c>
      <c r="BM21" s="8">
        <f t="shared" si="133"/>
        <v>5193.3</v>
      </c>
      <c r="BN21" s="8">
        <f t="shared" ca="1" si="134"/>
        <v>3712.7421030000005</v>
      </c>
      <c r="BO21" s="10">
        <v>30</v>
      </c>
      <c r="BP21" s="8">
        <f t="shared" si="135"/>
        <v>1046.47</v>
      </c>
      <c r="BQ21" s="8">
        <f t="shared" ca="1" si="136"/>
        <v>748.13186770000004</v>
      </c>
      <c r="BS21" s="8">
        <f t="shared" si="137"/>
        <v>0</v>
      </c>
      <c r="BT21" s="8">
        <f t="shared" ca="1" si="138"/>
        <v>0</v>
      </c>
      <c r="BU21" s="8">
        <f t="shared" si="139"/>
        <v>0</v>
      </c>
      <c r="BV21" s="8">
        <f t="shared" si="116"/>
        <v>-700.56000000000006</v>
      </c>
      <c r="BW21" s="8">
        <f t="shared" si="117"/>
        <v>-50.04</v>
      </c>
      <c r="BX21" s="8" t="s">
        <v>0</v>
      </c>
      <c r="BY21" s="8" t="s">
        <v>0</v>
      </c>
      <c r="BZ21" s="8" t="s">
        <v>0</v>
      </c>
      <c r="CA21" s="8" t="s">
        <v>0</v>
      </c>
      <c r="CB21" s="8">
        <f>(0)</f>
        <v>0</v>
      </c>
      <c r="CC21" s="8">
        <f t="shared" si="118"/>
        <v>4253.3999999999996</v>
      </c>
      <c r="CD21" s="8">
        <f>SUM(CC$16:$CC21)</f>
        <v>25520.400000000001</v>
      </c>
      <c r="CE21" s="12">
        <f t="shared" si="119"/>
        <v>0.15</v>
      </c>
      <c r="CF21" s="18">
        <f t="shared" si="127"/>
        <v>0</v>
      </c>
      <c r="CG21" s="19">
        <f t="shared" si="120"/>
        <v>0.15</v>
      </c>
      <c r="CH21" s="8">
        <f t="shared" si="130"/>
        <v>638.01</v>
      </c>
      <c r="CI21" s="19">
        <f t="shared" si="128"/>
        <v>0.84491000000000005</v>
      </c>
      <c r="CJ21" s="8">
        <f t="shared" si="121"/>
        <v>5004</v>
      </c>
      <c r="CK21" s="8">
        <f t="shared" si="122"/>
        <v>4253.3999999999996</v>
      </c>
      <c r="CL21" s="8" t="s">
        <v>0</v>
      </c>
      <c r="CM21" s="28" t="s">
        <v>0</v>
      </c>
      <c r="CN21" s="28" t="s">
        <v>0</v>
      </c>
      <c r="DC21" s="7">
        <v>19</v>
      </c>
      <c r="DD21" s="20">
        <v>9.5</v>
      </c>
      <c r="DE21" s="21">
        <v>0.21</v>
      </c>
      <c r="DF21" s="22"/>
    </row>
    <row r="22" spans="1:110" ht="39.950000000000003" customHeight="1" x14ac:dyDescent="0.25">
      <c r="A22" s="35">
        <f t="shared" ca="1" si="106"/>
        <v>0.2</v>
      </c>
      <c r="B22" s="36" t="s">
        <v>17</v>
      </c>
      <c r="C22" s="54">
        <v>0</v>
      </c>
      <c r="D22" s="55">
        <v>0</v>
      </c>
      <c r="E22" s="55">
        <v>0</v>
      </c>
      <c r="F22" s="55">
        <v>0</v>
      </c>
      <c r="G22" s="54">
        <v>27</v>
      </c>
      <c r="H22" s="54">
        <v>0</v>
      </c>
      <c r="I22" s="56" t="s">
        <v>1</v>
      </c>
      <c r="J22" s="56" t="s">
        <v>1</v>
      </c>
      <c r="K22" s="56" t="s">
        <v>1</v>
      </c>
      <c r="L22" s="57">
        <v>0</v>
      </c>
      <c r="M22" s="37">
        <f ca="1">(BR11+AL12+BD2+BX11+CO9+CP9+CC9-N22)</f>
        <v>6144.7816297000008</v>
      </c>
      <c r="N22" s="37">
        <f t="shared" ca="1" si="140"/>
        <v>928.61921880000011</v>
      </c>
      <c r="O22" s="38">
        <f t="shared" ca="1" si="115"/>
        <v>7073.4008485000013</v>
      </c>
      <c r="P22" s="1" t="s">
        <v>0</v>
      </c>
      <c r="Q22" s="2" t="s">
        <v>0</v>
      </c>
      <c r="R22" s="2" t="s">
        <v>0</v>
      </c>
      <c r="S22" s="68"/>
      <c r="T22" s="72"/>
      <c r="U22" s="39" t="s">
        <v>0</v>
      </c>
      <c r="V22" s="23" t="s">
        <v>0</v>
      </c>
      <c r="W22" s="74"/>
      <c r="X22" s="75"/>
      <c r="Y22" s="64"/>
      <c r="Z22" s="63"/>
      <c r="AA22" s="17" t="s">
        <v>95</v>
      </c>
      <c r="AB22" s="26">
        <v>166.8</v>
      </c>
      <c r="AC22" s="5">
        <v>215.7</v>
      </c>
      <c r="AD22" s="7">
        <f>($AD$18+$AD$19)</f>
        <v>9500</v>
      </c>
      <c r="AE22" s="7">
        <f>(2.15)</f>
        <v>2.15</v>
      </c>
      <c r="AF22" s="8">
        <f>($AD$24*$AD$22*$AE$22)</f>
        <v>4808.9641249999995</v>
      </c>
      <c r="AG22" s="8">
        <f>($AE$24*$AD$22*$AE$22)</f>
        <v>6813.8412749999989</v>
      </c>
      <c r="AH22" s="33">
        <f t="shared" si="107"/>
        <v>44835</v>
      </c>
      <c r="AI22" s="33">
        <f t="shared" si="87"/>
        <v>44865</v>
      </c>
      <c r="AJ22" s="34">
        <f t="shared" si="93"/>
        <v>31</v>
      </c>
      <c r="AK22" s="34">
        <f t="shared" si="94"/>
        <v>26</v>
      </c>
      <c r="AL22" s="34">
        <f t="shared" si="95"/>
        <v>5</v>
      </c>
      <c r="AM22" s="24" t="s">
        <v>0</v>
      </c>
      <c r="AN22" s="26">
        <f t="shared" si="123"/>
        <v>215.7</v>
      </c>
      <c r="AO22" s="26">
        <f ca="1">(AN22*CE13)</f>
        <v>132.20468699999998</v>
      </c>
      <c r="AP22" s="26">
        <f t="shared" si="124"/>
        <v>215.7</v>
      </c>
      <c r="AQ22" s="8">
        <f ca="1">(AP22*CE13+AR25/30*-1+CB13/30)</f>
        <v>170.51084999999995</v>
      </c>
      <c r="AR22" s="26">
        <f t="shared" si="125"/>
        <v>215.7</v>
      </c>
      <c r="AS22" s="8">
        <f ca="1">(AR22*CE13)</f>
        <v>132.20468699999998</v>
      </c>
      <c r="AT22" s="24" t="s">
        <v>0</v>
      </c>
      <c r="AU22" s="27">
        <f t="shared" si="75"/>
        <v>6686.7</v>
      </c>
      <c r="AV22" s="8">
        <f ca="1">(AU22*CE13)</f>
        <v>4098.3452969999998</v>
      </c>
      <c r="AW22" s="8">
        <f t="shared" si="77"/>
        <v>1318.68</v>
      </c>
      <c r="AX22" s="8">
        <f t="shared" si="78"/>
        <v>0</v>
      </c>
      <c r="AY22" s="8">
        <f ca="1">(AX22*CE13)</f>
        <v>0</v>
      </c>
      <c r="AZ22" s="8">
        <f ca="1">(BC22*CE13)</f>
        <v>0</v>
      </c>
      <c r="BA22" s="8">
        <f t="shared" si="81"/>
        <v>0</v>
      </c>
      <c r="BB22" s="8">
        <f ca="1">(BA22*CE13)</f>
        <v>0</v>
      </c>
      <c r="BC22" s="8">
        <f t="shared" si="83"/>
        <v>0</v>
      </c>
      <c r="BD22" s="8">
        <f t="shared" si="84"/>
        <v>0</v>
      </c>
      <c r="BE22" s="8">
        <f ca="1">(BD22*CE13)</f>
        <v>0</v>
      </c>
      <c r="BF22" s="10">
        <v>0</v>
      </c>
      <c r="BG22" s="8">
        <f t="shared" ca="1" si="131"/>
        <v>0</v>
      </c>
      <c r="BH22" s="8">
        <f t="shared" si="132"/>
        <v>0</v>
      </c>
      <c r="BI22" s="8">
        <f>(0)</f>
        <v>0</v>
      </c>
      <c r="BJ22" s="8">
        <f>(0)</f>
        <v>0</v>
      </c>
      <c r="BK22" s="8">
        <f>(0)</f>
        <v>0</v>
      </c>
      <c r="BL22" s="10">
        <v>0</v>
      </c>
      <c r="BM22" s="8">
        <f t="shared" si="133"/>
        <v>0</v>
      </c>
      <c r="BN22" s="8">
        <f t="shared" ca="1" si="134"/>
        <v>0</v>
      </c>
      <c r="BO22" s="10">
        <v>30</v>
      </c>
      <c r="BP22" s="8">
        <f t="shared" si="135"/>
        <v>1046.47</v>
      </c>
      <c r="BQ22" s="8">
        <f t="shared" ca="1" si="136"/>
        <v>748.13186770000004</v>
      </c>
      <c r="BS22" s="8">
        <f t="shared" si="137"/>
        <v>0</v>
      </c>
      <c r="BT22" s="8">
        <f t="shared" ca="1" si="138"/>
        <v>0</v>
      </c>
      <c r="BU22" s="8">
        <f t="shared" si="139"/>
        <v>0</v>
      </c>
      <c r="BX22" s="8" t="s">
        <v>0</v>
      </c>
      <c r="BY22" s="8" t="s">
        <v>0</v>
      </c>
      <c r="BZ22" s="8" t="s">
        <v>0</v>
      </c>
      <c r="CA22" s="8" t="s">
        <v>0</v>
      </c>
      <c r="CB22" s="8">
        <f>(0)</f>
        <v>0</v>
      </c>
      <c r="CC22" s="8">
        <f t="shared" ref="CC22:CC27" si="141">(BH1+BN1+BO1-CB22)</f>
        <v>5500.3499999999995</v>
      </c>
      <c r="CD22" s="8">
        <f>SUM(CC$16:$CC22)</f>
        <v>31020.75</v>
      </c>
      <c r="CE22" s="12">
        <f t="shared" si="119"/>
        <v>0.15</v>
      </c>
      <c r="CF22" s="18">
        <f t="shared" si="127"/>
        <v>0</v>
      </c>
      <c r="CG22" s="19">
        <f t="shared" si="120"/>
        <v>0.15</v>
      </c>
      <c r="CH22" s="8">
        <f t="shared" si="130"/>
        <v>825.05</v>
      </c>
      <c r="CI22" s="19">
        <f t="shared" si="128"/>
        <v>0.84491000000000005</v>
      </c>
      <c r="CJ22" s="8">
        <f t="shared" ref="CJ22:CJ27" si="142">BH1</f>
        <v>6471</v>
      </c>
      <c r="CK22" s="8">
        <f t="shared" ref="CK22:CK27" si="143">BH1+BK1+BN1+BO1</f>
        <v>5500.3499999999995</v>
      </c>
      <c r="CL22" s="8" t="s">
        <v>0</v>
      </c>
      <c r="CM22" s="28" t="s">
        <v>0</v>
      </c>
      <c r="CN22" s="28" t="s">
        <v>0</v>
      </c>
      <c r="DC22" s="7">
        <v>20</v>
      </c>
      <c r="DD22" s="20">
        <v>10</v>
      </c>
      <c r="DE22" s="21">
        <v>0.22</v>
      </c>
      <c r="DF22" s="22"/>
    </row>
    <row r="23" spans="1:110" ht="39.950000000000003" customHeight="1" x14ac:dyDescent="0.25">
      <c r="A23" s="35">
        <f t="shared" ca="1" si="106"/>
        <v>0.22411396370289666</v>
      </c>
      <c r="B23" s="36" t="s">
        <v>18</v>
      </c>
      <c r="C23" s="54">
        <v>0</v>
      </c>
      <c r="D23" s="55">
        <v>0</v>
      </c>
      <c r="E23" s="55">
        <v>0</v>
      </c>
      <c r="F23" s="55">
        <v>0</v>
      </c>
      <c r="G23" s="54">
        <v>26</v>
      </c>
      <c r="H23" s="54">
        <v>0</v>
      </c>
      <c r="I23" s="56" t="s">
        <v>1</v>
      </c>
      <c r="J23" s="56" t="s">
        <v>1</v>
      </c>
      <c r="K23" s="56" t="s">
        <v>1</v>
      </c>
      <c r="L23" s="57">
        <v>0</v>
      </c>
      <c r="M23" s="37">
        <f ca="1">(BR12+BB5+BD3+BX12+CO10+CP10+CC10-N23)</f>
        <v>10117.832582310446</v>
      </c>
      <c r="N23" s="37">
        <f t="shared" ca="1" si="140"/>
        <v>866.98123478955631</v>
      </c>
      <c r="O23" s="38">
        <f t="shared" ca="1" si="115"/>
        <v>10984.813817100003</v>
      </c>
      <c r="P23" s="1" t="s">
        <v>0</v>
      </c>
      <c r="Q23" s="2" t="s">
        <v>0</v>
      </c>
      <c r="R23" s="2" t="s">
        <v>0</v>
      </c>
      <c r="S23" s="68"/>
      <c r="T23" s="72"/>
      <c r="U23" s="39" t="s">
        <v>0</v>
      </c>
      <c r="V23" s="23" t="s">
        <v>0</v>
      </c>
      <c r="W23" s="74"/>
      <c r="X23" s="75"/>
      <c r="Y23" s="64"/>
      <c r="Z23" s="63"/>
      <c r="AA23" s="24" t="s">
        <v>0</v>
      </c>
      <c r="AB23" s="24" t="s">
        <v>0</v>
      </c>
      <c r="AC23" s="24" t="s">
        <v>0</v>
      </c>
      <c r="AD23" s="7" t="s">
        <v>0</v>
      </c>
      <c r="AE23" s="7" t="s">
        <v>0</v>
      </c>
      <c r="AF23" s="8">
        <f>($AF$18+$AF$19+$AF$20+$AF$21+$AF$22)</f>
        <v>10848.594125</v>
      </c>
      <c r="AG23" s="8">
        <f>($AG$18+$AG$19+$AG$20+$AG$21+$AG$22)</f>
        <v>15371.403274999999</v>
      </c>
      <c r="AH23" s="33">
        <f t="shared" si="107"/>
        <v>44866</v>
      </c>
      <c r="AI23" s="33">
        <f t="shared" si="87"/>
        <v>44895</v>
      </c>
      <c r="AJ23" s="34">
        <f t="shared" si="93"/>
        <v>30</v>
      </c>
      <c r="AK23" s="34">
        <f t="shared" si="94"/>
        <v>26</v>
      </c>
      <c r="AL23" s="34">
        <f t="shared" si="95"/>
        <v>4</v>
      </c>
      <c r="AM23" s="24" t="s">
        <v>0</v>
      </c>
      <c r="AN23" s="8">
        <f>(AN11+AN12+AN13+AN14+AN15+AN16+AN17+AN18+AN19+AN20+AN21+AN22)</f>
        <v>2332.86</v>
      </c>
      <c r="AO23" s="8">
        <f t="shared" ref="AO23:AS23" ca="1" si="144">(AO11+AO12+AO13+AO14+AO15+AO16+AO17+AO18+AO19+AO20+AO21+AO22)</f>
        <v>1558.0836487090951</v>
      </c>
      <c r="AP23" s="8">
        <f t="shared" si="144"/>
        <v>2332.86</v>
      </c>
      <c r="AQ23" s="8">
        <f t="shared" ca="1" si="144"/>
        <v>1912.3193653757619</v>
      </c>
      <c r="AR23" s="8">
        <f t="shared" si="144"/>
        <v>2332.86</v>
      </c>
      <c r="AS23" s="8">
        <f t="shared" ca="1" si="144"/>
        <v>1558.0836487090951</v>
      </c>
      <c r="AT23" s="24" t="s">
        <v>0</v>
      </c>
      <c r="AU23" s="8">
        <f t="shared" ref="AU23:AV23" si="145">(AU11+AU12+AU13+AU14+AU15+AU16+AU17+AU18+AU19+AU20+AU21+AU22)</f>
        <v>71021.709999999992</v>
      </c>
      <c r="AV23" s="8">
        <f t="shared" ca="1" si="145"/>
        <v>47416.337585157074</v>
      </c>
      <c r="AW23" s="8">
        <f>(AW11+AW12+AW13+AW14+AW15+AW16+AW17+AW18+AW19+AW20+AW21+AW22)</f>
        <v>15286.920000000002</v>
      </c>
      <c r="AX23" s="8">
        <f t="shared" ref="AX23:AY23" si="146">(AX11+AX12+AX13+AX14+AX15+AX16+AX17+AX18+AX19+AX20+AX21+AX22)</f>
        <v>0</v>
      </c>
      <c r="AY23" s="8">
        <f t="shared" ca="1" si="146"/>
        <v>0</v>
      </c>
      <c r="AZ23" s="8">
        <f ca="1">(AZ11+AZ12+AZ13+AZ14+AZ15+AZ16+AZ17+AZ18+AZ19+AZ20+AZ21+AZ22)</f>
        <v>0</v>
      </c>
      <c r="BA23" s="8">
        <f t="shared" ref="BA23:BB23" si="147">(BA11+BA12+BA13+BA14+BA15+BA16+BA17+BA18+BA19+BA20+BA21+BA22)</f>
        <v>0</v>
      </c>
      <c r="BB23" s="8">
        <f t="shared" ca="1" si="147"/>
        <v>0</v>
      </c>
      <c r="BC23" s="8">
        <f>(BC11+BC12+BC13+BC14+BC15+BC16+BC17+BC18+BC19+BC20+BC21+BC22)</f>
        <v>0</v>
      </c>
      <c r="BD23" s="8">
        <f t="shared" ref="BD23:BE23" si="148">(BD11+BD12+BD13+BD14+BD15+BD16+BD17+BD18+BD19+BD20+BD21+BD22)</f>
        <v>0</v>
      </c>
      <c r="BE23" s="8">
        <f t="shared" ca="1" si="148"/>
        <v>0</v>
      </c>
      <c r="BF23" s="10">
        <v>0</v>
      </c>
      <c r="BG23" s="8">
        <f t="shared" ca="1" si="131"/>
        <v>0</v>
      </c>
      <c r="BH23" s="8">
        <f t="shared" si="132"/>
        <v>0</v>
      </c>
      <c r="BI23" s="8">
        <f>(0)</f>
        <v>0</v>
      </c>
      <c r="BJ23" s="8">
        <f>(0)</f>
        <v>0</v>
      </c>
      <c r="BK23" s="8">
        <f>(0)</f>
        <v>0</v>
      </c>
      <c r="BL23" s="10">
        <v>0</v>
      </c>
      <c r="BM23" s="8">
        <f t="shared" si="133"/>
        <v>0</v>
      </c>
      <c r="BN23" s="8">
        <f t="shared" ca="1" si="134"/>
        <v>0</v>
      </c>
      <c r="BO23" s="10">
        <v>30</v>
      </c>
      <c r="BP23" s="8">
        <f t="shared" si="135"/>
        <v>1046.47</v>
      </c>
      <c r="BQ23" s="8">
        <f t="shared" ca="1" si="136"/>
        <v>721.43062607903664</v>
      </c>
      <c r="BS23" s="8">
        <f t="shared" si="137"/>
        <v>0</v>
      </c>
      <c r="BT23" s="8">
        <f t="shared" ca="1" si="138"/>
        <v>0</v>
      </c>
      <c r="BU23" s="8">
        <f t="shared" si="139"/>
        <v>0</v>
      </c>
      <c r="BX23" s="8" t="s">
        <v>0</v>
      </c>
      <c r="BY23" s="8" t="s">
        <v>0</v>
      </c>
      <c r="BZ23" s="8" t="s">
        <v>0</v>
      </c>
      <c r="CA23" s="8" t="s">
        <v>0</v>
      </c>
      <c r="CB23" s="8">
        <f>(0)</f>
        <v>0</v>
      </c>
      <c r="CC23" s="8">
        <f t="shared" si="141"/>
        <v>5500.3499999999995</v>
      </c>
      <c r="CD23" s="8">
        <f>SUM(CC$16:$CC23)</f>
        <v>36521.1</v>
      </c>
      <c r="CE23" s="12">
        <f t="shared" si="119"/>
        <v>0.2</v>
      </c>
      <c r="CF23" s="18">
        <f t="shared" si="127"/>
        <v>1</v>
      </c>
      <c r="CG23" s="19">
        <f t="shared" si="120"/>
        <v>0.19109829374494347</v>
      </c>
      <c r="CH23" s="8">
        <f t="shared" si="130"/>
        <v>1051.1099999999999</v>
      </c>
      <c r="CI23" s="19">
        <f t="shared" si="128"/>
        <v>0.8099764503167981</v>
      </c>
      <c r="CJ23" s="8">
        <f t="shared" si="142"/>
        <v>6471</v>
      </c>
      <c r="CK23" s="8">
        <f t="shared" si="143"/>
        <v>5500.3499999999995</v>
      </c>
      <c r="CL23" s="8" t="s">
        <v>0</v>
      </c>
      <c r="CM23" s="28" t="s">
        <v>0</v>
      </c>
      <c r="CN23" s="28" t="s">
        <v>0</v>
      </c>
      <c r="DC23" s="7">
        <v>21</v>
      </c>
      <c r="DD23" s="20">
        <v>10.5</v>
      </c>
      <c r="DE23" s="21">
        <v>0.23</v>
      </c>
      <c r="DF23" s="22"/>
    </row>
    <row r="24" spans="1:110" ht="39.950000000000003" customHeight="1" x14ac:dyDescent="0.25">
      <c r="A24" s="35">
        <f t="shared" ca="1" si="106"/>
        <v>0.27</v>
      </c>
      <c r="B24" s="36" t="s">
        <v>19</v>
      </c>
      <c r="C24" s="54">
        <v>0</v>
      </c>
      <c r="D24" s="55">
        <v>0</v>
      </c>
      <c r="E24" s="55">
        <v>0</v>
      </c>
      <c r="F24" s="55">
        <v>0</v>
      </c>
      <c r="G24" s="54">
        <v>26</v>
      </c>
      <c r="H24" s="54">
        <v>0</v>
      </c>
      <c r="I24" s="56" t="s">
        <v>1</v>
      </c>
      <c r="J24" s="56" t="s">
        <v>1</v>
      </c>
      <c r="K24" s="56" t="s">
        <v>1</v>
      </c>
      <c r="L24" s="57">
        <v>0</v>
      </c>
      <c r="M24" s="37">
        <f ca="1">(BR13+BB6+BD4+BX13+CO11+CP11+CC11-N24)</f>
        <v>5747.2087297000016</v>
      </c>
      <c r="N24" s="37">
        <f t="shared" ca="1" si="140"/>
        <v>815.13781440000002</v>
      </c>
      <c r="O24" s="38">
        <f t="shared" ca="1" si="115"/>
        <v>6562.3465441000017</v>
      </c>
      <c r="P24" s="1" t="s">
        <v>0</v>
      </c>
      <c r="Q24" s="2" t="s">
        <v>0</v>
      </c>
      <c r="R24" s="2" t="s">
        <v>0</v>
      </c>
      <c r="S24" s="68"/>
      <c r="T24" s="72"/>
      <c r="U24" s="39" t="s">
        <v>0</v>
      </c>
      <c r="V24" s="23" t="s">
        <v>0</v>
      </c>
      <c r="W24" s="74"/>
      <c r="X24" s="75"/>
      <c r="Y24" s="64"/>
      <c r="Z24" s="63"/>
      <c r="AA24" s="24" t="s">
        <v>0</v>
      </c>
      <c r="AB24" s="24" t="s">
        <v>0</v>
      </c>
      <c r="AC24" s="24" t="s">
        <v>0</v>
      </c>
      <c r="AD24" s="42">
        <f>(0.235445)</f>
        <v>0.23544499999999999</v>
      </c>
      <c r="AE24" s="42">
        <f>(0.333603)</f>
        <v>0.33360299999999998</v>
      </c>
      <c r="AF24" s="7" t="s">
        <v>0</v>
      </c>
      <c r="AG24" s="17" t="s">
        <v>0</v>
      </c>
      <c r="AH24" s="33">
        <f t="shared" si="107"/>
        <v>44896</v>
      </c>
      <c r="AI24" s="33">
        <f t="shared" si="87"/>
        <v>44926</v>
      </c>
      <c r="AJ24" s="34">
        <f t="shared" si="93"/>
        <v>31</v>
      </c>
      <c r="AK24" s="34">
        <f t="shared" si="94"/>
        <v>27</v>
      </c>
      <c r="AL24" s="34">
        <f t="shared" si="95"/>
        <v>4</v>
      </c>
      <c r="AM24" s="24" t="s">
        <v>0</v>
      </c>
      <c r="AN24" s="8">
        <f>(AN23/12)</f>
        <v>194.405</v>
      </c>
      <c r="AO24" s="8">
        <f t="shared" ref="AO24:AS24" ca="1" si="149">(AO23/12)</f>
        <v>129.84030405909127</v>
      </c>
      <c r="AP24" s="8">
        <f t="shared" si="149"/>
        <v>194.405</v>
      </c>
      <c r="AQ24" s="8">
        <f t="shared" ca="1" si="149"/>
        <v>159.35994711464681</v>
      </c>
      <c r="AR24" s="8">
        <f t="shared" si="149"/>
        <v>194.405</v>
      </c>
      <c r="AS24" s="8">
        <f t="shared" ca="1" si="149"/>
        <v>129.84030405909127</v>
      </c>
      <c r="AT24" s="24" t="s">
        <v>0</v>
      </c>
      <c r="AU24" s="8">
        <f t="shared" ref="AU24:AV24" si="150">(AU23/12)</f>
        <v>5918.475833333333</v>
      </c>
      <c r="AV24" s="8">
        <f t="shared" ca="1" si="150"/>
        <v>3951.3614654297562</v>
      </c>
      <c r="AW24" s="8">
        <f>(AW23/12)</f>
        <v>1273.9100000000001</v>
      </c>
      <c r="AX24" s="8">
        <f t="shared" ref="AX24:AY24" si="151">(AX23/12)</f>
        <v>0</v>
      </c>
      <c r="AY24" s="8">
        <f t="shared" ca="1" si="151"/>
        <v>0</v>
      </c>
      <c r="AZ24" s="8">
        <f ca="1">(AZ23/12)</f>
        <v>0</v>
      </c>
      <c r="BA24" s="8">
        <f t="shared" ref="BA24:BB24" si="152">(BA23/12)</f>
        <v>0</v>
      </c>
      <c r="BB24" s="8">
        <f t="shared" ca="1" si="152"/>
        <v>0</v>
      </c>
      <c r="BC24" s="8">
        <f>(BC23/12)</f>
        <v>0</v>
      </c>
      <c r="BD24" s="8">
        <f t="shared" ref="BD24:BE24" si="153">(BD23/12)</f>
        <v>0</v>
      </c>
      <c r="BE24" s="8">
        <f t="shared" ca="1" si="153"/>
        <v>0</v>
      </c>
      <c r="BF24" s="10">
        <v>0</v>
      </c>
      <c r="BG24" s="8">
        <f t="shared" ca="1" si="131"/>
        <v>0</v>
      </c>
      <c r="BH24" s="8">
        <f t="shared" si="132"/>
        <v>0</v>
      </c>
      <c r="BI24" s="8">
        <f>(0)</f>
        <v>0</v>
      </c>
      <c r="BJ24" s="8">
        <f>(0)</f>
        <v>0</v>
      </c>
      <c r="BK24" s="8">
        <f>(0)</f>
        <v>0</v>
      </c>
      <c r="BL24" s="10">
        <v>30</v>
      </c>
      <c r="BM24" s="8">
        <f t="shared" si="133"/>
        <v>5193.3</v>
      </c>
      <c r="BN24" s="8">
        <f t="shared" ca="1" si="134"/>
        <v>3492.0268529999998</v>
      </c>
      <c r="BO24" s="10">
        <v>30</v>
      </c>
      <c r="BP24" s="8">
        <f t="shared" si="135"/>
        <v>1046.47</v>
      </c>
      <c r="BQ24" s="8">
        <f t="shared" ca="1" si="136"/>
        <v>703.65689269999996</v>
      </c>
      <c r="BS24" s="8">
        <f t="shared" si="137"/>
        <v>0</v>
      </c>
      <c r="BT24" s="8">
        <f t="shared" ca="1" si="138"/>
        <v>0</v>
      </c>
      <c r="BU24" s="8">
        <f t="shared" si="139"/>
        <v>0</v>
      </c>
      <c r="BX24" s="8" t="s">
        <v>0</v>
      </c>
      <c r="BY24" s="8" t="s">
        <v>0</v>
      </c>
      <c r="BZ24" s="8" t="s">
        <v>0</v>
      </c>
      <c r="CA24" s="8" t="s">
        <v>0</v>
      </c>
      <c r="CB24" s="8">
        <f>(0)</f>
        <v>0</v>
      </c>
      <c r="CC24" s="8">
        <f t="shared" si="141"/>
        <v>5500.3499999999995</v>
      </c>
      <c r="CD24" s="8">
        <f>SUM(CC$16:$CC24)</f>
        <v>42021.45</v>
      </c>
      <c r="CE24" s="12">
        <f t="shared" si="119"/>
        <v>0.2</v>
      </c>
      <c r="CF24" s="18">
        <f t="shared" si="127"/>
        <v>0</v>
      </c>
      <c r="CG24" s="19">
        <f t="shared" si="120"/>
        <v>0.2</v>
      </c>
      <c r="CH24" s="8">
        <f t="shared" si="130"/>
        <v>1100.07</v>
      </c>
      <c r="CI24" s="19">
        <f t="shared" si="128"/>
        <v>0.80240999999999996</v>
      </c>
      <c r="CJ24" s="8">
        <f t="shared" si="142"/>
        <v>6471</v>
      </c>
      <c r="CK24" s="8">
        <f t="shared" si="143"/>
        <v>5500.3499999999995</v>
      </c>
      <c r="CL24" s="8" t="s">
        <v>0</v>
      </c>
      <c r="CM24" s="28" t="s">
        <v>0</v>
      </c>
      <c r="CN24" s="28" t="s">
        <v>0</v>
      </c>
      <c r="DC24" s="7">
        <v>22</v>
      </c>
      <c r="DD24" s="20">
        <v>11</v>
      </c>
      <c r="DE24" s="21">
        <v>0.24</v>
      </c>
      <c r="DF24" s="22"/>
    </row>
    <row r="25" spans="1:110" ht="39.950000000000003" customHeight="1" x14ac:dyDescent="0.25">
      <c r="A25" s="35">
        <f t="shared" ca="1" si="106"/>
        <v>0.27</v>
      </c>
      <c r="B25" s="36" t="s">
        <v>20</v>
      </c>
      <c r="C25" s="54">
        <v>0</v>
      </c>
      <c r="D25" s="55">
        <v>0</v>
      </c>
      <c r="E25" s="55">
        <v>0</v>
      </c>
      <c r="F25" s="55">
        <v>0</v>
      </c>
      <c r="G25" s="54">
        <v>26</v>
      </c>
      <c r="H25" s="54">
        <v>0</v>
      </c>
      <c r="I25" s="56" t="s">
        <v>1</v>
      </c>
      <c r="J25" s="56" t="s">
        <v>1</v>
      </c>
      <c r="K25" s="56" t="s">
        <v>1</v>
      </c>
      <c r="L25" s="57">
        <v>0</v>
      </c>
      <c r="M25" s="37">
        <f ca="1">(BR14+BB7+BD5+BX14+CO12+CP12+CC12-N25)</f>
        <v>5615.0008926999999</v>
      </c>
      <c r="N25" s="37">
        <f t="shared" ca="1" si="140"/>
        <v>815.13781440000002</v>
      </c>
      <c r="O25" s="38">
        <f t="shared" ca="1" si="115"/>
        <v>6430.1387070999999</v>
      </c>
      <c r="P25" s="1" t="s">
        <v>0</v>
      </c>
      <c r="Q25" s="2" t="s">
        <v>0</v>
      </c>
      <c r="R25" s="2" t="s">
        <v>0</v>
      </c>
      <c r="S25" s="68"/>
      <c r="T25" s="72"/>
      <c r="U25" s="39" t="s">
        <v>0</v>
      </c>
      <c r="V25" s="23" t="s">
        <v>0</v>
      </c>
      <c r="W25" s="74"/>
      <c r="X25" s="75"/>
      <c r="Y25" s="64"/>
      <c r="Z25" s="63"/>
      <c r="AA25" s="24" t="s">
        <v>0</v>
      </c>
      <c r="AB25" s="24" t="s">
        <v>0</v>
      </c>
      <c r="AC25" s="24" t="s">
        <v>0</v>
      </c>
      <c r="AD25" s="42">
        <f>(3.68518)</f>
        <v>3.6851799999999999</v>
      </c>
      <c r="AE25" s="42">
        <f>(5.221532)</f>
        <v>5.2215319999999998</v>
      </c>
      <c r="AF25" s="7" t="s">
        <v>0</v>
      </c>
      <c r="AG25" s="17" t="s">
        <v>0</v>
      </c>
      <c r="AH25" s="24" t="s">
        <v>0</v>
      </c>
      <c r="AI25" s="24" t="s">
        <v>0</v>
      </c>
      <c r="AJ25" s="10">
        <f>(AJ13+AJ14+AJ15+AJ16+AJ17+AJ18+AJ19+AJ20+AJ21+AJ22+AJ23+AJ24)</f>
        <v>365</v>
      </c>
      <c r="AK25" s="10">
        <f>(AK13+AK14+AK15+AK16+AK17+AK18+AK19+AK20+AK21+AK22+AK23+AK24)</f>
        <v>313</v>
      </c>
      <c r="AL25" s="10">
        <f>(AL13+AL14+AL15+AL16+AL17+AL18+AL19+AL20+AL21+AL22+AL23+AL24)</f>
        <v>52</v>
      </c>
      <c r="AM25" s="24" t="s">
        <v>0</v>
      </c>
      <c r="AN25" s="8">
        <f ca="1">(AU22+AX22+BA22+BD22+BC22+AW22+BQ5+BW5+BZ5+CC5+AX8)</f>
        <v>15522.85</v>
      </c>
      <c r="AO25" s="8">
        <f ca="1">(AU22+AX22+BA22+BD22+BC22+AW22+BQ5+BW5+BZ5+CC5+AX8)</f>
        <v>15522.85</v>
      </c>
      <c r="AP25" s="8">
        <f ca="1">(AO25*0.00759*-1)</f>
        <v>-117.8184315</v>
      </c>
      <c r="AQ25" s="8">
        <f>(BI6)</f>
        <v>6471</v>
      </c>
      <c r="AR25" s="8">
        <f>(AQ25*0.00759*-1)</f>
        <v>-49.114890000000003</v>
      </c>
      <c r="AS25" s="8">
        <f ca="1">(AO25-AQ25)</f>
        <v>9051.85</v>
      </c>
      <c r="AT25" s="8">
        <f ca="1">(AS25*0.00759*-1)</f>
        <v>-68.7035415</v>
      </c>
      <c r="AU25" s="8">
        <f ca="1">(AT25)</f>
        <v>-68.7035415</v>
      </c>
      <c r="AV25" s="8">
        <f>(BJ16+BT5+CE5+AY8)</f>
        <v>349.38</v>
      </c>
      <c r="AW25" s="8">
        <f ca="1">(AO25-AV25)</f>
        <v>15173.470000000001</v>
      </c>
      <c r="AX25" s="8">
        <f ca="1">IF(AW25&gt;=BH6*7.5,BH6*7.5,AW25)</f>
        <v>15173.470000000001</v>
      </c>
      <c r="BF25" s="10">
        <v>0</v>
      </c>
      <c r="BG25" s="8">
        <f t="shared" ca="1" si="131"/>
        <v>0</v>
      </c>
      <c r="BH25" s="8">
        <f t="shared" si="132"/>
        <v>0</v>
      </c>
      <c r="BI25" s="8">
        <f>(0)</f>
        <v>0</v>
      </c>
      <c r="BJ25" s="8">
        <f>(0)</f>
        <v>0</v>
      </c>
      <c r="BK25" s="8">
        <f>(0)</f>
        <v>0</v>
      </c>
      <c r="BL25" s="10">
        <v>0</v>
      </c>
      <c r="BM25" s="8">
        <f t="shared" si="133"/>
        <v>0</v>
      </c>
      <c r="BN25" s="8">
        <f t="shared" ca="1" si="134"/>
        <v>0</v>
      </c>
      <c r="BO25" s="10">
        <v>30</v>
      </c>
      <c r="BP25" s="8">
        <f t="shared" si="135"/>
        <v>1046.47</v>
      </c>
      <c r="BQ25" s="8">
        <f t="shared" ca="1" si="136"/>
        <v>703.65689269999996</v>
      </c>
      <c r="BS25" s="8">
        <f t="shared" si="137"/>
        <v>0</v>
      </c>
      <c r="BT25" s="8">
        <f t="shared" ca="1" si="138"/>
        <v>0</v>
      </c>
      <c r="BU25" s="8">
        <f t="shared" si="139"/>
        <v>0</v>
      </c>
      <c r="BX25" s="8" t="s">
        <v>0</v>
      </c>
      <c r="BY25" s="8" t="s">
        <v>0</v>
      </c>
      <c r="BZ25" s="8" t="s">
        <v>0</v>
      </c>
      <c r="CA25" s="8" t="s">
        <v>0</v>
      </c>
      <c r="CB25" s="8">
        <f>(0)</f>
        <v>0</v>
      </c>
      <c r="CC25" s="8">
        <f t="shared" si="141"/>
        <v>5500.3499999999995</v>
      </c>
      <c r="CD25" s="8">
        <f>SUM(CC$16:$CC25)</f>
        <v>47521.799999999996</v>
      </c>
      <c r="CE25" s="12">
        <f t="shared" si="119"/>
        <v>0.2</v>
      </c>
      <c r="CF25" s="18">
        <f t="shared" si="127"/>
        <v>0</v>
      </c>
      <c r="CG25" s="19">
        <f t="shared" si="120"/>
        <v>0.2</v>
      </c>
      <c r="CH25" s="8">
        <f t="shared" si="130"/>
        <v>1100.07</v>
      </c>
      <c r="CI25" s="19">
        <f t="shared" si="128"/>
        <v>0.80240999999999996</v>
      </c>
      <c r="CJ25" s="8">
        <f t="shared" si="142"/>
        <v>6471</v>
      </c>
      <c r="CK25" s="8">
        <f t="shared" si="143"/>
        <v>5500.3499999999995</v>
      </c>
      <c r="CL25" s="8" t="s">
        <v>0</v>
      </c>
      <c r="CM25" s="28" t="s">
        <v>0</v>
      </c>
      <c r="CN25" s="28" t="s">
        <v>0</v>
      </c>
      <c r="DC25" s="7">
        <v>23</v>
      </c>
      <c r="DD25" s="20">
        <v>11.5</v>
      </c>
      <c r="DE25" s="21">
        <v>0.25</v>
      </c>
      <c r="DF25" s="22"/>
    </row>
    <row r="26" spans="1:110" ht="39.950000000000003" customHeight="1" x14ac:dyDescent="0.25">
      <c r="A26" s="35">
        <f t="shared" ca="1" si="106"/>
        <v>0.27</v>
      </c>
      <c r="B26" s="36" t="s">
        <v>21</v>
      </c>
      <c r="C26" s="54">
        <v>0</v>
      </c>
      <c r="D26" s="55">
        <v>0</v>
      </c>
      <c r="E26" s="55">
        <v>0</v>
      </c>
      <c r="F26" s="55">
        <v>0</v>
      </c>
      <c r="G26" s="54">
        <v>27</v>
      </c>
      <c r="H26" s="54">
        <v>0</v>
      </c>
      <c r="I26" s="56" t="s">
        <v>1</v>
      </c>
      <c r="J26" s="56" t="s">
        <v>1</v>
      </c>
      <c r="K26" s="56" t="s">
        <v>1</v>
      </c>
      <c r="L26" s="57">
        <v>0</v>
      </c>
      <c r="M26" s="37">
        <f ca="1">(AO25+BB8+BD6+AU25+CO13+CP13+CC13-N26)</f>
        <v>9713.3466896999998</v>
      </c>
      <c r="N26" s="37">
        <f t="shared" ca="1" si="140"/>
        <v>846.4892688000001</v>
      </c>
      <c r="O26" s="38">
        <f t="shared" ca="1" si="115"/>
        <v>10559.8359585</v>
      </c>
      <c r="P26" s="1" t="s">
        <v>0</v>
      </c>
      <c r="Q26" s="2" t="s">
        <v>0</v>
      </c>
      <c r="R26" s="2" t="s">
        <v>0</v>
      </c>
      <c r="S26" s="68"/>
      <c r="T26" s="72"/>
      <c r="U26" s="39" t="s">
        <v>0</v>
      </c>
      <c r="V26" s="23" t="s">
        <v>0</v>
      </c>
      <c r="W26" s="74"/>
      <c r="X26" s="75"/>
      <c r="Y26" s="64"/>
      <c r="Z26" s="63"/>
      <c r="AA26" s="24" t="s">
        <v>0</v>
      </c>
      <c r="AB26" s="24" t="s">
        <v>0</v>
      </c>
      <c r="AC26" s="24" t="s">
        <v>0</v>
      </c>
      <c r="AD26" s="42">
        <f>(0.074667)</f>
        <v>7.4666999999999997E-2</v>
      </c>
      <c r="AE26" s="42">
        <f>(0.105796)</f>
        <v>0.105796</v>
      </c>
      <c r="AF26" s="7" t="s">
        <v>0</v>
      </c>
      <c r="AG26" s="17" t="s">
        <v>0</v>
      </c>
      <c r="AH26" s="24" t="s">
        <v>0</v>
      </c>
      <c r="AI26" s="24" t="s">
        <v>0</v>
      </c>
      <c r="AJ26" s="24" t="s">
        <v>0</v>
      </c>
      <c r="AK26" s="24" t="s">
        <v>0</v>
      </c>
      <c r="AL26" s="24" t="s">
        <v>0</v>
      </c>
      <c r="AM26" s="24" t="s">
        <v>0</v>
      </c>
      <c r="AN26" s="8">
        <f t="shared" ref="AN26:AX26" ca="1" si="154">(AH1+AH2+AH3+AH4+BQ8+BQ9+BQ10+BQ11+BQ12+BQ13+BQ14+AN25)</f>
        <v>122194.87</v>
      </c>
      <c r="AO26" s="8">
        <f t="shared" ca="1" si="154"/>
        <v>122194.87</v>
      </c>
      <c r="AP26" s="8">
        <f t="shared" ca="1" si="154"/>
        <v>-927.45906330000003</v>
      </c>
      <c r="AQ26" s="8">
        <f t="shared" si="154"/>
        <v>68850</v>
      </c>
      <c r="AR26" s="8">
        <f t="shared" si="154"/>
        <v>-522.57150000000001</v>
      </c>
      <c r="AS26" s="8">
        <f t="shared" ca="1" si="154"/>
        <v>53344.869999999995</v>
      </c>
      <c r="AT26" s="8">
        <f t="shared" ca="1" si="154"/>
        <v>-404.88756330000001</v>
      </c>
      <c r="AU26" s="8">
        <f t="shared" ca="1" si="154"/>
        <v>-404.88756330000001</v>
      </c>
      <c r="AV26" s="8">
        <f t="shared" si="154"/>
        <v>3596.07</v>
      </c>
      <c r="AW26" s="8">
        <f t="shared" ca="1" si="154"/>
        <v>118598.79999999999</v>
      </c>
      <c r="AX26" s="8">
        <f t="shared" ca="1" si="154"/>
        <v>118598.79999999999</v>
      </c>
      <c r="BX26" s="8" t="s">
        <v>0</v>
      </c>
      <c r="BY26" s="8" t="s">
        <v>0</v>
      </c>
      <c r="BZ26" s="8" t="s">
        <v>0</v>
      </c>
      <c r="CA26" s="8" t="s">
        <v>0</v>
      </c>
      <c r="CB26" s="8">
        <f>(0)</f>
        <v>0</v>
      </c>
      <c r="CC26" s="8">
        <f t="shared" si="141"/>
        <v>5500.3499999999995</v>
      </c>
      <c r="CD26" s="8">
        <f>SUM(CC$16:$CC26)</f>
        <v>53022.149999999994</v>
      </c>
      <c r="CE26" s="12">
        <f t="shared" si="119"/>
        <v>0.2</v>
      </c>
      <c r="CF26" s="18">
        <f t="shared" si="127"/>
        <v>0</v>
      </c>
      <c r="CG26" s="19">
        <f t="shared" si="120"/>
        <v>0.2</v>
      </c>
      <c r="CH26" s="8">
        <f t="shared" si="130"/>
        <v>1100.07</v>
      </c>
      <c r="CI26" s="19">
        <f t="shared" si="128"/>
        <v>0.80240999999999996</v>
      </c>
      <c r="CJ26" s="8">
        <f t="shared" si="142"/>
        <v>6471</v>
      </c>
      <c r="CK26" s="8">
        <f t="shared" si="143"/>
        <v>5500.3499999999995</v>
      </c>
      <c r="CL26" s="8" t="s">
        <v>0</v>
      </c>
      <c r="CM26" s="28" t="s">
        <v>0</v>
      </c>
      <c r="CN26" s="28" t="s">
        <v>0</v>
      </c>
      <c r="DC26" s="7">
        <v>24</v>
      </c>
      <c r="DD26" s="20">
        <v>12</v>
      </c>
      <c r="DE26" s="21">
        <v>0.26</v>
      </c>
      <c r="DF26" s="22"/>
    </row>
    <row r="27" spans="1:110" ht="39.950000000000003" customHeight="1" x14ac:dyDescent="0.25">
      <c r="A27" s="58" t="s">
        <v>52</v>
      </c>
      <c r="B27" s="58"/>
      <c r="C27" s="43" t="s">
        <v>0</v>
      </c>
      <c r="D27" s="44">
        <f>(D15+D16+D17+D18+D19+D20+D21+D22+D23+D24+D25+D26)</f>
        <v>0</v>
      </c>
      <c r="E27" s="44">
        <f>(E15+E16+E17+E18+E19+E20+E21+E22+E23+E24+E25+E26)</f>
        <v>0</v>
      </c>
      <c r="F27" s="44">
        <f>(F15+F16+F17+F18+F19+F20+F21+F22+F23+F24+F25+F26)</f>
        <v>0</v>
      </c>
      <c r="G27" s="45">
        <f>(G15+G16+G17+G18+G19+G20+G21+G22+G23+G24+G25+G26)</f>
        <v>313</v>
      </c>
      <c r="H27" s="45">
        <f>(H15+H16+H17+H18+H19+H20+H21+H22+H23+H24+H25+H26)</f>
        <v>0</v>
      </c>
      <c r="I27" s="43" t="s">
        <v>0</v>
      </c>
      <c r="J27" s="43" t="s">
        <v>0</v>
      </c>
      <c r="K27" s="43" t="s">
        <v>0</v>
      </c>
      <c r="L27" s="46" t="s">
        <v>0</v>
      </c>
      <c r="M27" s="47">
        <f t="shared" ref="M27" ca="1" si="155">(M15+M16+M17+M18+M19+M20+M21+M22+M23+M24+M25+M26)</f>
        <v>80195.685544204753</v>
      </c>
      <c r="N27" s="47">
        <f t="shared" ref="N27" ca="1" si="156">(N15+N16+N17+N18+N19+N20+N21+N22+N23+N24+N25+N26)</f>
        <v>10686.932892495264</v>
      </c>
      <c r="O27" s="48">
        <f t="shared" ref="O27" ca="1" si="157">(O15+O16+O17+O18+O19+O20+O21+O22+O23+O24+O25+O26)</f>
        <v>90882.61843670001</v>
      </c>
      <c r="P27" s="1" t="s">
        <v>0</v>
      </c>
      <c r="Q27" s="2" t="s">
        <v>0</v>
      </c>
      <c r="R27" s="2" t="s">
        <v>0</v>
      </c>
      <c r="S27" s="68"/>
      <c r="T27" s="72"/>
      <c r="U27" s="39" t="s">
        <v>0</v>
      </c>
      <c r="V27" s="23" t="s">
        <v>0</v>
      </c>
      <c r="W27" s="74"/>
      <c r="X27" s="75"/>
      <c r="Y27" s="64"/>
      <c r="Z27" s="63"/>
      <c r="AA27" s="24" t="s">
        <v>0</v>
      </c>
      <c r="AB27" s="24" t="s">
        <v>0</v>
      </c>
      <c r="AC27" s="24" t="s">
        <v>0</v>
      </c>
      <c r="AN27" s="8">
        <f t="shared" ref="AN27" ca="1" si="158">(AN26/12)</f>
        <v>10182.905833333332</v>
      </c>
      <c r="AO27" s="8">
        <f t="shared" ref="AO27" ca="1" si="159">(AO26/12)</f>
        <v>10182.905833333332</v>
      </c>
      <c r="AP27" s="8">
        <f t="shared" ref="AP27" ca="1" si="160">(AP26/12)</f>
        <v>-77.288255274999997</v>
      </c>
      <c r="AQ27" s="8">
        <f t="shared" ref="AQ27" si="161">(AQ26/12)</f>
        <v>5737.5</v>
      </c>
      <c r="AR27" s="8">
        <f t="shared" ref="AR27" si="162">(AR26/12)</f>
        <v>-43.547625000000004</v>
      </c>
      <c r="AS27" s="8">
        <f t="shared" ref="AS27" ca="1" si="163">(AS26/12)</f>
        <v>4445.4058333333332</v>
      </c>
      <c r="AT27" s="8">
        <f t="shared" ref="AT27" ca="1" si="164">(AT26/12)</f>
        <v>-33.740630275000001</v>
      </c>
      <c r="AU27" s="8">
        <f t="shared" ref="AU27" ca="1" si="165">(AU26/12)</f>
        <v>-33.740630275000001</v>
      </c>
      <c r="AV27" s="8">
        <f t="shared" ref="AV27" si="166">(AV26/12)</f>
        <v>299.67250000000001</v>
      </c>
      <c r="AW27" s="8">
        <f t="shared" ref="AW27" ca="1" si="167">(AW26/12)</f>
        <v>9883.2333333333318</v>
      </c>
      <c r="AX27" s="8">
        <f t="shared" ref="AX27" ca="1" si="168">(AX26/12)</f>
        <v>9883.2333333333318</v>
      </c>
      <c r="BX27" s="8" t="s">
        <v>0</v>
      </c>
      <c r="BY27" s="8" t="s">
        <v>0</v>
      </c>
      <c r="BZ27" s="8" t="s">
        <v>0</v>
      </c>
      <c r="CA27" s="8" t="s">
        <v>0</v>
      </c>
      <c r="CB27" s="8">
        <f>(0)</f>
        <v>0</v>
      </c>
      <c r="CC27" s="8">
        <f t="shared" si="141"/>
        <v>5500.3499999999995</v>
      </c>
      <c r="CD27" s="8">
        <f>SUM(CC$16:$CC27)</f>
        <v>58522.499999999993</v>
      </c>
      <c r="CE27" s="12">
        <f t="shared" si="119"/>
        <v>0.2</v>
      </c>
      <c r="CF27" s="18">
        <f t="shared" si="127"/>
        <v>0</v>
      </c>
      <c r="CG27" s="19">
        <f t="shared" si="120"/>
        <v>0.2</v>
      </c>
      <c r="CH27" s="8">
        <f t="shared" si="130"/>
        <v>1100.07</v>
      </c>
      <c r="CI27" s="19">
        <f t="shared" si="128"/>
        <v>0.80240999999999996</v>
      </c>
      <c r="CJ27" s="8">
        <f t="shared" si="142"/>
        <v>6471</v>
      </c>
      <c r="CK27" s="8">
        <f t="shared" si="143"/>
        <v>5500.3499999999995</v>
      </c>
      <c r="CL27" s="8" t="s">
        <v>0</v>
      </c>
      <c r="CM27" s="28" t="s">
        <v>0</v>
      </c>
      <c r="CN27" s="28" t="s">
        <v>0</v>
      </c>
      <c r="DC27" s="7">
        <v>25</v>
      </c>
      <c r="DD27" s="20">
        <v>12.5</v>
      </c>
      <c r="DE27" s="21">
        <v>0.27</v>
      </c>
      <c r="DF27" s="22"/>
    </row>
    <row r="28" spans="1:110" ht="39.950000000000003" customHeight="1" x14ac:dyDescent="0.25">
      <c r="A28" s="58" t="s">
        <v>53</v>
      </c>
      <c r="B28" s="58"/>
      <c r="C28" s="43" t="s">
        <v>0</v>
      </c>
      <c r="D28" s="45" t="s">
        <v>0</v>
      </c>
      <c r="E28" s="43" t="s">
        <v>0</v>
      </c>
      <c r="F28" s="43" t="s">
        <v>0</v>
      </c>
      <c r="G28" s="43" t="s">
        <v>0</v>
      </c>
      <c r="H28" s="43" t="s">
        <v>0</v>
      </c>
      <c r="I28" s="43" t="s">
        <v>0</v>
      </c>
      <c r="J28" s="43" t="s">
        <v>0</v>
      </c>
      <c r="K28" s="43" t="s">
        <v>0</v>
      </c>
      <c r="L28" s="43" t="s">
        <v>0</v>
      </c>
      <c r="M28" s="47">
        <f ca="1">(M27/12)</f>
        <v>6682.9737953503964</v>
      </c>
      <c r="N28" s="47">
        <f ca="1">(N27/12)</f>
        <v>890.57774104127202</v>
      </c>
      <c r="O28" s="48">
        <f ca="1">(O27/12)</f>
        <v>7573.5515363916675</v>
      </c>
      <c r="P28" s="1" t="s">
        <v>0</v>
      </c>
      <c r="Q28" s="2" t="s">
        <v>0</v>
      </c>
      <c r="R28" s="2" t="s">
        <v>0</v>
      </c>
      <c r="S28" s="68"/>
      <c r="T28" s="72"/>
      <c r="U28" s="39" t="s">
        <v>0</v>
      </c>
      <c r="V28" s="23" t="s">
        <v>0</v>
      </c>
      <c r="W28" s="74"/>
      <c r="X28" s="69"/>
      <c r="Y28" s="70"/>
      <c r="Z28" s="71"/>
      <c r="AA28" s="24" t="s">
        <v>0</v>
      </c>
      <c r="AB28" s="24" t="s">
        <v>0</v>
      </c>
      <c r="AC28" s="24" t="s">
        <v>0</v>
      </c>
      <c r="BX28" s="24" t="s">
        <v>0</v>
      </c>
      <c r="BY28" s="24" t="s">
        <v>0</v>
      </c>
      <c r="BZ28" s="24" t="s">
        <v>0</v>
      </c>
      <c r="CA28" s="24" t="s">
        <v>0</v>
      </c>
      <c r="CB28" s="8">
        <f t="shared" ref="CB28" si="169">(CB16+CB17+CB18+CB19+CB20+CB21+CB22+CB23+CB24+CB25+CB26+CB27)</f>
        <v>0</v>
      </c>
      <c r="CC28" s="8">
        <f t="shared" ref="CC28" si="170">(CC16+CC17+CC18+CC19+CC20+CC21+CC22+CC23+CC24+CC25+CC26+CC27)</f>
        <v>58522.499999999993</v>
      </c>
      <c r="CD28" s="24" t="s">
        <v>0</v>
      </c>
      <c r="CE28" s="7" t="s">
        <v>0</v>
      </c>
      <c r="CF28" s="7" t="s">
        <v>0</v>
      </c>
      <c r="CG28" s="7" t="s">
        <v>0</v>
      </c>
      <c r="CH28" s="8">
        <f t="shared" ref="CH28" si="171">(CH16+CH17+CH18+CH19+CH20+CH21+CH22+CH23+CH24+CH25+CH26+CH27)</f>
        <v>10104.5</v>
      </c>
      <c r="CI28" s="7" t="s">
        <v>0</v>
      </c>
      <c r="CJ28" s="8">
        <f t="shared" ref="CJ28" si="172">(CJ16+CJ17+CJ18+CJ19+CJ20+CJ21+CJ22+CJ23+CJ24+CJ25+CJ26+CJ27)</f>
        <v>68850</v>
      </c>
      <c r="CK28" s="8">
        <f t="shared" ref="CK28" si="173">(CK16+CK17+CK18+CK19+CK20+CK21+CK22+CK23+CK24+CK25+CK26+CK27)</f>
        <v>58522.499999999993</v>
      </c>
      <c r="CL28" s="9" t="s">
        <v>0</v>
      </c>
      <c r="CM28" s="28" t="s">
        <v>0</v>
      </c>
      <c r="CN28" s="28" t="s">
        <v>0</v>
      </c>
      <c r="DC28" s="7">
        <v>26</v>
      </c>
      <c r="DD28" s="20">
        <v>13</v>
      </c>
      <c r="DE28" s="21">
        <v>0.28000000000000003</v>
      </c>
      <c r="DF28" s="49"/>
    </row>
    <row r="29" spans="1:110" ht="39.950000000000003" hidden="1" customHeight="1" x14ac:dyDescent="0.25">
      <c r="AA29" s="11"/>
      <c r="BX29" s="24" t="s">
        <v>0</v>
      </c>
      <c r="BY29" s="24" t="s">
        <v>0</v>
      </c>
      <c r="BZ29" s="24" t="s">
        <v>0</v>
      </c>
      <c r="CA29" s="24" t="s">
        <v>0</v>
      </c>
      <c r="CB29" s="8">
        <f t="shared" ref="CB29" si="174">(CB28/12)</f>
        <v>0</v>
      </c>
      <c r="CC29" s="8">
        <f t="shared" ref="CC29" si="175">(CC28/12)</f>
        <v>4876.8749999999991</v>
      </c>
      <c r="CD29" s="24" t="s">
        <v>0</v>
      </c>
      <c r="CE29" s="24" t="s">
        <v>0</v>
      </c>
      <c r="CF29" s="24" t="s">
        <v>0</v>
      </c>
      <c r="CG29" s="24" t="s">
        <v>0</v>
      </c>
      <c r="CH29" s="8">
        <f t="shared" ref="CH29" si="176">(CH28/12)</f>
        <v>842.04166666666663</v>
      </c>
      <c r="CI29" s="24" t="s">
        <v>0</v>
      </c>
      <c r="CJ29" s="8">
        <f t="shared" ref="CJ29" si="177">(CJ28/12)</f>
        <v>5737.5</v>
      </c>
      <c r="CK29" s="8">
        <f t="shared" ref="CK29" si="178">(CK28/12)</f>
        <v>4876.8749999999991</v>
      </c>
      <c r="CL29" s="8" t="s">
        <v>0</v>
      </c>
      <c r="CM29" s="11"/>
      <c r="CN29" s="11"/>
      <c r="DC29" s="7">
        <v>27</v>
      </c>
      <c r="DD29" s="20">
        <v>13.5</v>
      </c>
      <c r="DE29" s="21">
        <v>0.28999999999999998</v>
      </c>
    </row>
    <row r="30" spans="1:110" ht="39.950000000000003" hidden="1" customHeight="1" x14ac:dyDescent="0.25">
      <c r="AA30" s="11"/>
      <c r="CM30" s="11"/>
      <c r="CN30" s="11"/>
      <c r="DC30" s="7">
        <v>28</v>
      </c>
      <c r="DD30" s="20">
        <v>14</v>
      </c>
      <c r="DE30" s="21">
        <v>0.3</v>
      </c>
    </row>
    <row r="31" spans="1:110" ht="39.950000000000003" hidden="1" customHeight="1" x14ac:dyDescent="0.25">
      <c r="AA31" s="11"/>
      <c r="DC31" s="7">
        <v>29</v>
      </c>
      <c r="DD31" s="20">
        <v>14.5</v>
      </c>
      <c r="DE31" s="21">
        <v>0.31</v>
      </c>
    </row>
    <row r="32" spans="1:110" ht="39.950000000000003" hidden="1" customHeight="1" x14ac:dyDescent="0.25">
      <c r="AA32" s="11"/>
      <c r="DC32" s="7">
        <v>30</v>
      </c>
      <c r="DD32" s="20">
        <v>15</v>
      </c>
      <c r="DE32" s="21">
        <v>0.32</v>
      </c>
    </row>
    <row r="33" spans="107:109" ht="39.950000000000003" hidden="1" customHeight="1" x14ac:dyDescent="0.25">
      <c r="DC33" s="7">
        <v>31</v>
      </c>
      <c r="DD33" s="20">
        <v>15.5</v>
      </c>
      <c r="DE33" s="21">
        <v>0.33</v>
      </c>
    </row>
    <row r="34" spans="107:109" ht="39.950000000000003" hidden="1" customHeight="1" x14ac:dyDescent="0.25">
      <c r="DC34" s="7">
        <v>32</v>
      </c>
      <c r="DD34" s="20">
        <v>16</v>
      </c>
      <c r="DE34" s="21">
        <v>0.34</v>
      </c>
    </row>
    <row r="35" spans="107:109" ht="39.950000000000003" hidden="1" customHeight="1" x14ac:dyDescent="0.25">
      <c r="DC35" s="7">
        <v>33</v>
      </c>
      <c r="DD35" s="20">
        <v>16.5</v>
      </c>
      <c r="DE35" s="21">
        <v>0.35</v>
      </c>
    </row>
    <row r="36" spans="107:109" ht="39.950000000000003" hidden="1" customHeight="1" x14ac:dyDescent="0.25">
      <c r="DC36" s="7">
        <v>34</v>
      </c>
      <c r="DD36" s="20">
        <v>17</v>
      </c>
      <c r="DE36" s="21">
        <v>0.36</v>
      </c>
    </row>
    <row r="37" spans="107:109" ht="39.950000000000003" hidden="1" customHeight="1" x14ac:dyDescent="0.25">
      <c r="DC37" s="7">
        <v>35</v>
      </c>
      <c r="DD37" s="20">
        <v>17.5</v>
      </c>
      <c r="DE37" s="21">
        <v>0.37</v>
      </c>
    </row>
    <row r="38" spans="107:109" ht="39.950000000000003" hidden="1" customHeight="1" x14ac:dyDescent="0.25">
      <c r="DC38" s="7">
        <v>36</v>
      </c>
      <c r="DD38" s="20">
        <v>18</v>
      </c>
      <c r="DE38" s="21">
        <v>0.38</v>
      </c>
    </row>
    <row r="39" spans="107:109" ht="39.950000000000003" hidden="1" customHeight="1" x14ac:dyDescent="0.25">
      <c r="DC39" s="7">
        <v>37</v>
      </c>
      <c r="DD39" s="20">
        <v>18.5</v>
      </c>
      <c r="DE39" s="21">
        <v>0.39</v>
      </c>
    </row>
    <row r="40" spans="107:109" ht="39.950000000000003" hidden="1" customHeight="1" x14ac:dyDescent="0.25">
      <c r="DC40" s="7">
        <v>38</v>
      </c>
      <c r="DD40" s="20">
        <v>19</v>
      </c>
      <c r="DE40" s="21">
        <v>0.4</v>
      </c>
    </row>
    <row r="41" spans="107:109" ht="39.950000000000003" hidden="1" customHeight="1" x14ac:dyDescent="0.25">
      <c r="DC41" s="7">
        <v>39</v>
      </c>
      <c r="DD41" s="20">
        <v>19.5</v>
      </c>
      <c r="DE41" s="21">
        <v>0.41</v>
      </c>
    </row>
    <row r="42" spans="107:109" ht="39.950000000000003" hidden="1" customHeight="1" x14ac:dyDescent="0.25">
      <c r="DC42" s="7">
        <v>40</v>
      </c>
      <c r="DD42" s="20">
        <v>20</v>
      </c>
      <c r="DE42" s="21">
        <v>0.42</v>
      </c>
    </row>
    <row r="43" spans="107:109" ht="39.950000000000003" hidden="1" customHeight="1" x14ac:dyDescent="0.25">
      <c r="DC43" s="7">
        <v>41</v>
      </c>
      <c r="DD43" s="20">
        <v>20.5</v>
      </c>
      <c r="DE43" s="21">
        <v>0.43</v>
      </c>
    </row>
    <row r="44" spans="107:109" ht="39.950000000000003" hidden="1" customHeight="1" x14ac:dyDescent="0.25">
      <c r="DC44" s="7">
        <v>42</v>
      </c>
      <c r="DD44" s="20">
        <v>21</v>
      </c>
      <c r="DE44" s="21">
        <v>0.44</v>
      </c>
    </row>
    <row r="45" spans="107:109" ht="39.950000000000003" hidden="1" customHeight="1" x14ac:dyDescent="0.25">
      <c r="DC45" s="7">
        <v>43</v>
      </c>
      <c r="DD45" s="20">
        <v>21.5</v>
      </c>
      <c r="DE45" s="21">
        <v>0.45</v>
      </c>
    </row>
    <row r="46" spans="107:109" ht="39.950000000000003" hidden="1" customHeight="1" x14ac:dyDescent="0.25">
      <c r="DC46" s="7">
        <v>44</v>
      </c>
      <c r="DD46" s="20">
        <v>22</v>
      </c>
      <c r="DE46" s="21">
        <v>0.46</v>
      </c>
    </row>
    <row r="47" spans="107:109" ht="39.950000000000003" hidden="1" customHeight="1" x14ac:dyDescent="0.25">
      <c r="DC47" s="7">
        <v>45</v>
      </c>
      <c r="DD47" s="20">
        <v>22.5</v>
      </c>
      <c r="DE47" s="21">
        <v>0.47</v>
      </c>
    </row>
    <row r="48" spans="107:109" ht="39.950000000000003" hidden="1" customHeight="1" x14ac:dyDescent="0.25">
      <c r="DC48" s="7">
        <v>46</v>
      </c>
      <c r="DD48" s="20">
        <v>23</v>
      </c>
      <c r="DE48" s="21">
        <v>0.48</v>
      </c>
    </row>
    <row r="49" spans="107:109" ht="39.950000000000003" hidden="1" customHeight="1" x14ac:dyDescent="0.25">
      <c r="DC49" s="7">
        <v>47</v>
      </c>
      <c r="DD49" s="20">
        <v>23.5</v>
      </c>
      <c r="DE49" s="21">
        <v>0.49</v>
      </c>
    </row>
    <row r="50" spans="107:109" ht="39.950000000000003" hidden="1" customHeight="1" x14ac:dyDescent="0.25">
      <c r="DC50" s="7">
        <v>48</v>
      </c>
      <c r="DD50" s="20">
        <v>24</v>
      </c>
      <c r="DE50" s="21">
        <v>0.5</v>
      </c>
    </row>
    <row r="51" spans="107:109" ht="39.950000000000003" hidden="1" customHeight="1" x14ac:dyDescent="0.25">
      <c r="DC51" s="7">
        <v>49</v>
      </c>
      <c r="DD51" s="20">
        <v>24.5</v>
      </c>
      <c r="DE51" s="52" t="s">
        <v>0</v>
      </c>
    </row>
    <row r="52" spans="107:109" ht="39.950000000000003" hidden="1" customHeight="1" x14ac:dyDescent="0.25">
      <c r="DC52" s="7">
        <v>50</v>
      </c>
      <c r="DD52" s="20">
        <v>25</v>
      </c>
      <c r="DE52" s="52" t="s">
        <v>0</v>
      </c>
    </row>
    <row r="53" spans="107:109" ht="39.950000000000003" hidden="1" customHeight="1" x14ac:dyDescent="0.25">
      <c r="DC53" s="7">
        <v>51</v>
      </c>
      <c r="DD53" s="20">
        <v>25.5</v>
      </c>
      <c r="DE53" s="52" t="s">
        <v>0</v>
      </c>
    </row>
    <row r="54" spans="107:109" ht="39.950000000000003" hidden="1" customHeight="1" x14ac:dyDescent="0.25">
      <c r="DC54" s="7">
        <v>52</v>
      </c>
      <c r="DD54" s="20">
        <v>26</v>
      </c>
      <c r="DE54" s="52" t="s">
        <v>0</v>
      </c>
    </row>
    <row r="55" spans="107:109" ht="39.950000000000003" hidden="1" customHeight="1" x14ac:dyDescent="0.25">
      <c r="DC55" s="7">
        <v>53</v>
      </c>
      <c r="DD55" s="20">
        <v>26.5</v>
      </c>
      <c r="DE55" s="52" t="s">
        <v>0</v>
      </c>
    </row>
    <row r="56" spans="107:109" ht="39.950000000000003" hidden="1" customHeight="1" x14ac:dyDescent="0.25">
      <c r="DC56" s="7">
        <v>54</v>
      </c>
      <c r="DD56" s="20">
        <v>27</v>
      </c>
      <c r="DE56" s="52" t="s">
        <v>0</v>
      </c>
    </row>
    <row r="57" spans="107:109" ht="39.950000000000003" hidden="1" customHeight="1" x14ac:dyDescent="0.25">
      <c r="DC57" s="7">
        <v>55</v>
      </c>
      <c r="DD57" s="20">
        <v>27.5</v>
      </c>
      <c r="DE57" s="52" t="s">
        <v>0</v>
      </c>
    </row>
    <row r="58" spans="107:109" ht="39.950000000000003" hidden="1" customHeight="1" x14ac:dyDescent="0.25">
      <c r="DC58" s="7">
        <v>56</v>
      </c>
      <c r="DD58" s="20">
        <v>28</v>
      </c>
      <c r="DE58" s="52" t="s">
        <v>0</v>
      </c>
    </row>
    <row r="59" spans="107:109" ht="39.950000000000003" hidden="1" customHeight="1" x14ac:dyDescent="0.25">
      <c r="DC59" s="7">
        <v>57</v>
      </c>
      <c r="DD59" s="20">
        <v>28.5</v>
      </c>
      <c r="DE59" s="52" t="s">
        <v>0</v>
      </c>
    </row>
    <row r="60" spans="107:109" ht="39.950000000000003" hidden="1" customHeight="1" x14ac:dyDescent="0.25">
      <c r="DC60" s="7">
        <v>58</v>
      </c>
      <c r="DD60" s="20">
        <v>29</v>
      </c>
      <c r="DE60" s="52" t="s">
        <v>0</v>
      </c>
    </row>
    <row r="61" spans="107:109" ht="39.950000000000003" hidden="1" customHeight="1" x14ac:dyDescent="0.25">
      <c r="DC61" s="7">
        <v>59</v>
      </c>
      <c r="DD61" s="20">
        <v>29.5</v>
      </c>
      <c r="DE61" s="52" t="s">
        <v>0</v>
      </c>
    </row>
    <row r="62" spans="107:109" ht="39.950000000000003" hidden="1" customHeight="1" x14ac:dyDescent="0.25">
      <c r="DC62" s="7">
        <v>60</v>
      </c>
      <c r="DD62" s="20">
        <v>30</v>
      </c>
      <c r="DE62" s="52" t="s">
        <v>0</v>
      </c>
    </row>
    <row r="63" spans="107:109" ht="39.950000000000003" hidden="1" customHeight="1" x14ac:dyDescent="0.25">
      <c r="DC63" s="7">
        <v>61</v>
      </c>
      <c r="DD63" s="20">
        <v>30.5</v>
      </c>
      <c r="DE63" s="52" t="s">
        <v>0</v>
      </c>
    </row>
    <row r="64" spans="107:109" ht="39.950000000000003" hidden="1" customHeight="1" x14ac:dyDescent="0.25">
      <c r="DC64" s="7">
        <v>62</v>
      </c>
      <c r="DD64" s="20">
        <v>31</v>
      </c>
      <c r="DE64" s="52" t="s">
        <v>0</v>
      </c>
    </row>
    <row r="65" spans="107:109" ht="39.950000000000003" hidden="1" customHeight="1" x14ac:dyDescent="0.25">
      <c r="DC65" s="7">
        <v>63</v>
      </c>
      <c r="DD65" s="20">
        <v>31.5</v>
      </c>
      <c r="DE65" s="52" t="s">
        <v>0</v>
      </c>
    </row>
    <row r="66" spans="107:109" ht="39.950000000000003" hidden="1" customHeight="1" x14ac:dyDescent="0.25">
      <c r="DC66" s="7">
        <v>64</v>
      </c>
      <c r="DD66" s="20">
        <v>32</v>
      </c>
      <c r="DE66" s="52" t="s">
        <v>0</v>
      </c>
    </row>
    <row r="67" spans="107:109" ht="39.950000000000003" hidden="1" customHeight="1" x14ac:dyDescent="0.25">
      <c r="DC67" s="7">
        <v>65</v>
      </c>
      <c r="DD67" s="20">
        <v>32.5</v>
      </c>
      <c r="DE67" s="52" t="s">
        <v>0</v>
      </c>
    </row>
    <row r="68" spans="107:109" ht="39.950000000000003" hidden="1" customHeight="1" x14ac:dyDescent="0.25">
      <c r="DC68" s="7">
        <v>66</v>
      </c>
      <c r="DD68" s="20">
        <v>33</v>
      </c>
      <c r="DE68" s="52" t="s">
        <v>0</v>
      </c>
    </row>
    <row r="69" spans="107:109" ht="39.950000000000003" hidden="1" customHeight="1" x14ac:dyDescent="0.25">
      <c r="DC69" s="7">
        <v>67</v>
      </c>
      <c r="DD69" s="20">
        <v>33.5</v>
      </c>
      <c r="DE69" s="52" t="s">
        <v>0</v>
      </c>
    </row>
    <row r="70" spans="107:109" ht="39.950000000000003" hidden="1" customHeight="1" x14ac:dyDescent="0.25">
      <c r="DC70" s="7">
        <v>68</v>
      </c>
      <c r="DD70" s="20">
        <v>34</v>
      </c>
      <c r="DE70" s="52" t="s">
        <v>0</v>
      </c>
    </row>
    <row r="71" spans="107:109" ht="39.950000000000003" hidden="1" customHeight="1" x14ac:dyDescent="0.25">
      <c r="DC71" s="7">
        <v>69</v>
      </c>
      <c r="DD71" s="20">
        <v>34.5</v>
      </c>
      <c r="DE71" s="52" t="s">
        <v>0</v>
      </c>
    </row>
    <row r="72" spans="107:109" ht="39.950000000000003" hidden="1" customHeight="1" x14ac:dyDescent="0.25">
      <c r="DC72" s="7">
        <v>70</v>
      </c>
      <c r="DD72" s="20">
        <v>35</v>
      </c>
      <c r="DE72" s="52" t="s">
        <v>0</v>
      </c>
    </row>
    <row r="73" spans="107:109" ht="39.950000000000003" hidden="1" customHeight="1" x14ac:dyDescent="0.25">
      <c r="DC73" s="7">
        <v>71</v>
      </c>
      <c r="DD73" s="20">
        <v>35.5</v>
      </c>
      <c r="DE73" s="52" t="s">
        <v>0</v>
      </c>
    </row>
    <row r="74" spans="107:109" ht="39.950000000000003" hidden="1" customHeight="1" x14ac:dyDescent="0.25">
      <c r="DC74" s="7">
        <v>72</v>
      </c>
      <c r="DD74" s="20">
        <v>36</v>
      </c>
      <c r="DE74" s="52" t="s">
        <v>0</v>
      </c>
    </row>
    <row r="75" spans="107:109" ht="39.950000000000003" hidden="1" customHeight="1" x14ac:dyDescent="0.25">
      <c r="DC75" s="7">
        <v>73</v>
      </c>
      <c r="DD75" s="20">
        <v>36.5</v>
      </c>
      <c r="DE75" s="52" t="s">
        <v>0</v>
      </c>
    </row>
    <row r="76" spans="107:109" ht="39.950000000000003" hidden="1" customHeight="1" x14ac:dyDescent="0.25">
      <c r="DC76" s="7">
        <v>74</v>
      </c>
      <c r="DD76" s="20">
        <v>37</v>
      </c>
      <c r="DE76" s="52" t="s">
        <v>0</v>
      </c>
    </row>
    <row r="77" spans="107:109" ht="39.950000000000003" hidden="1" customHeight="1" x14ac:dyDescent="0.25">
      <c r="DC77" s="7">
        <v>75</v>
      </c>
      <c r="DD77" s="20">
        <v>37.5</v>
      </c>
      <c r="DE77" s="52" t="s">
        <v>0</v>
      </c>
    </row>
    <row r="78" spans="107:109" ht="39.950000000000003" hidden="1" customHeight="1" x14ac:dyDescent="0.25">
      <c r="DC78" s="7">
        <v>76</v>
      </c>
      <c r="DD78" s="20">
        <v>38</v>
      </c>
      <c r="DE78" s="52" t="s">
        <v>0</v>
      </c>
    </row>
    <row r="79" spans="107:109" ht="39.950000000000003" hidden="1" customHeight="1" x14ac:dyDescent="0.25">
      <c r="DC79" s="7">
        <v>77</v>
      </c>
      <c r="DD79" s="20">
        <v>38.5</v>
      </c>
      <c r="DE79" s="52" t="s">
        <v>0</v>
      </c>
    </row>
    <row r="80" spans="107:109" ht="39.950000000000003" hidden="1" customHeight="1" x14ac:dyDescent="0.25">
      <c r="DC80" s="7">
        <v>78</v>
      </c>
      <c r="DD80" s="20">
        <v>39</v>
      </c>
      <c r="DE80" s="52" t="s">
        <v>0</v>
      </c>
    </row>
    <row r="81" spans="107:109" ht="39.950000000000003" hidden="1" customHeight="1" x14ac:dyDescent="0.25">
      <c r="DC81" s="7">
        <v>79</v>
      </c>
      <c r="DD81" s="20">
        <v>39.5</v>
      </c>
      <c r="DE81" s="52" t="s">
        <v>0</v>
      </c>
    </row>
    <row r="82" spans="107:109" ht="39.950000000000003" hidden="1" customHeight="1" x14ac:dyDescent="0.25">
      <c r="DC82" s="7">
        <v>80</v>
      </c>
      <c r="DD82" s="20">
        <v>40</v>
      </c>
      <c r="DE82" s="52" t="s">
        <v>0</v>
      </c>
    </row>
    <row r="83" spans="107:109" ht="39.950000000000003" hidden="1" customHeight="1" x14ac:dyDescent="0.25">
      <c r="DC83" s="7">
        <v>81</v>
      </c>
      <c r="DD83" s="20">
        <v>40.5</v>
      </c>
      <c r="DE83" s="52" t="s">
        <v>0</v>
      </c>
    </row>
    <row r="84" spans="107:109" ht="39.950000000000003" hidden="1" customHeight="1" x14ac:dyDescent="0.25">
      <c r="DC84" s="7">
        <v>82</v>
      </c>
      <c r="DD84" s="20">
        <v>41</v>
      </c>
      <c r="DE84" s="52" t="s">
        <v>0</v>
      </c>
    </row>
    <row r="85" spans="107:109" ht="39.950000000000003" hidden="1" customHeight="1" x14ac:dyDescent="0.25">
      <c r="DC85" s="7">
        <v>83</v>
      </c>
      <c r="DD85" s="20">
        <v>41.5</v>
      </c>
      <c r="DE85" s="52" t="s">
        <v>0</v>
      </c>
    </row>
    <row r="86" spans="107:109" ht="39.950000000000003" hidden="1" customHeight="1" x14ac:dyDescent="0.25">
      <c r="DC86" s="7">
        <v>84</v>
      </c>
      <c r="DD86" s="20">
        <v>42</v>
      </c>
      <c r="DE86" s="52" t="s">
        <v>0</v>
      </c>
    </row>
    <row r="87" spans="107:109" ht="39.950000000000003" hidden="1" customHeight="1" x14ac:dyDescent="0.25">
      <c r="DC87" s="7">
        <v>85</v>
      </c>
      <c r="DD87" s="20">
        <v>42.5</v>
      </c>
      <c r="DE87" s="52" t="s">
        <v>0</v>
      </c>
    </row>
    <row r="88" spans="107:109" ht="39.950000000000003" hidden="1" customHeight="1" x14ac:dyDescent="0.25">
      <c r="DC88" s="7">
        <v>86</v>
      </c>
      <c r="DD88" s="20">
        <v>43</v>
      </c>
      <c r="DE88" s="52" t="s">
        <v>0</v>
      </c>
    </row>
    <row r="89" spans="107:109" ht="39.950000000000003" hidden="1" customHeight="1" x14ac:dyDescent="0.25">
      <c r="DC89" s="7">
        <v>87</v>
      </c>
      <c r="DD89" s="20">
        <v>43.5</v>
      </c>
      <c r="DE89" s="52" t="s">
        <v>0</v>
      </c>
    </row>
    <row r="90" spans="107:109" ht="39.950000000000003" hidden="1" customHeight="1" x14ac:dyDescent="0.25">
      <c r="DC90" s="7">
        <v>88</v>
      </c>
      <c r="DD90" s="20">
        <v>44</v>
      </c>
      <c r="DE90" s="52" t="s">
        <v>0</v>
      </c>
    </row>
    <row r="91" spans="107:109" ht="39.950000000000003" hidden="1" customHeight="1" x14ac:dyDescent="0.25">
      <c r="DC91" s="7">
        <v>89</v>
      </c>
      <c r="DD91" s="20">
        <v>44.5</v>
      </c>
      <c r="DE91" s="52" t="s">
        <v>0</v>
      </c>
    </row>
    <row r="92" spans="107:109" ht="39.950000000000003" hidden="1" customHeight="1" x14ac:dyDescent="0.25">
      <c r="DC92" s="7">
        <v>90</v>
      </c>
      <c r="DD92" s="20">
        <v>45</v>
      </c>
      <c r="DE92" s="52" t="s">
        <v>0</v>
      </c>
    </row>
    <row r="93" spans="107:109" ht="39.950000000000003" hidden="1" customHeight="1" x14ac:dyDescent="0.25">
      <c r="DC93" s="7">
        <v>91</v>
      </c>
      <c r="DD93" s="20">
        <v>45.5</v>
      </c>
      <c r="DE93" s="52" t="s">
        <v>0</v>
      </c>
    </row>
    <row r="94" spans="107:109" ht="39.950000000000003" hidden="1" customHeight="1" x14ac:dyDescent="0.25">
      <c r="DC94" s="7">
        <v>92</v>
      </c>
      <c r="DD94" s="20">
        <v>46</v>
      </c>
      <c r="DE94" s="52" t="s">
        <v>0</v>
      </c>
    </row>
    <row r="95" spans="107:109" ht="39.950000000000003" hidden="1" customHeight="1" x14ac:dyDescent="0.25">
      <c r="DC95" s="7">
        <v>93</v>
      </c>
      <c r="DD95" s="20">
        <v>46.5</v>
      </c>
      <c r="DE95" s="52" t="s">
        <v>0</v>
      </c>
    </row>
    <row r="96" spans="107:109" ht="39.950000000000003" hidden="1" customHeight="1" x14ac:dyDescent="0.25">
      <c r="DC96" s="7">
        <v>94</v>
      </c>
      <c r="DD96" s="20">
        <v>47</v>
      </c>
      <c r="DE96" s="52" t="s">
        <v>0</v>
      </c>
    </row>
    <row r="97" spans="107:109" ht="39.950000000000003" hidden="1" customHeight="1" x14ac:dyDescent="0.25">
      <c r="DC97" s="7">
        <v>95</v>
      </c>
      <c r="DD97" s="20">
        <v>47.5</v>
      </c>
      <c r="DE97" s="52" t="s">
        <v>0</v>
      </c>
    </row>
    <row r="98" spans="107:109" ht="39.950000000000003" hidden="1" customHeight="1" x14ac:dyDescent="0.25">
      <c r="DC98" s="7">
        <v>96</v>
      </c>
      <c r="DD98" s="20">
        <v>48</v>
      </c>
      <c r="DE98" s="52" t="s">
        <v>0</v>
      </c>
    </row>
    <row r="99" spans="107:109" ht="39.950000000000003" hidden="1" customHeight="1" x14ac:dyDescent="0.25">
      <c r="DC99" s="7">
        <v>97</v>
      </c>
      <c r="DD99" s="20">
        <v>48.5</v>
      </c>
      <c r="DE99" s="52" t="s">
        <v>0</v>
      </c>
    </row>
    <row r="100" spans="107:109" ht="39.950000000000003" hidden="1" customHeight="1" x14ac:dyDescent="0.25">
      <c r="DC100" s="7">
        <v>98</v>
      </c>
      <c r="DD100" s="20">
        <v>49</v>
      </c>
      <c r="DE100" s="52" t="s">
        <v>0</v>
      </c>
    </row>
    <row r="101" spans="107:109" ht="39.950000000000003" hidden="1" customHeight="1" x14ac:dyDescent="0.25">
      <c r="DC101" s="7">
        <v>99</v>
      </c>
      <c r="DD101" s="20">
        <v>49.5</v>
      </c>
      <c r="DE101" s="52" t="s">
        <v>0</v>
      </c>
    </row>
    <row r="102" spans="107:109" ht="39.950000000000003" hidden="1" customHeight="1" x14ac:dyDescent="0.25">
      <c r="DC102" s="7">
        <v>100</v>
      </c>
      <c r="DD102" s="20">
        <v>50</v>
      </c>
      <c r="DE102" s="52" t="s">
        <v>0</v>
      </c>
    </row>
    <row r="103" spans="107:109" ht="39.950000000000003" hidden="1" customHeight="1" x14ac:dyDescent="0.25">
      <c r="DC103" s="7">
        <v>101</v>
      </c>
      <c r="DD103" s="20">
        <v>50.5</v>
      </c>
      <c r="DE103" s="52" t="s">
        <v>0</v>
      </c>
    </row>
    <row r="104" spans="107:109" ht="39.950000000000003" hidden="1" customHeight="1" x14ac:dyDescent="0.25">
      <c r="DC104" s="7">
        <v>102</v>
      </c>
      <c r="DD104" s="20">
        <v>51</v>
      </c>
      <c r="DE104" s="52" t="s">
        <v>0</v>
      </c>
    </row>
    <row r="105" spans="107:109" ht="39.950000000000003" hidden="1" customHeight="1" x14ac:dyDescent="0.25">
      <c r="DC105" s="7">
        <v>103</v>
      </c>
      <c r="DD105" s="20">
        <v>51.5</v>
      </c>
      <c r="DE105" s="52" t="s">
        <v>0</v>
      </c>
    </row>
    <row r="106" spans="107:109" ht="39.950000000000003" hidden="1" customHeight="1" x14ac:dyDescent="0.25">
      <c r="DC106" s="7">
        <v>104</v>
      </c>
      <c r="DD106" s="20">
        <v>52</v>
      </c>
      <c r="DE106" s="52" t="s">
        <v>0</v>
      </c>
    </row>
    <row r="107" spans="107:109" ht="39.950000000000003" hidden="1" customHeight="1" x14ac:dyDescent="0.25">
      <c r="DC107" s="7">
        <v>105</v>
      </c>
      <c r="DD107" s="20">
        <v>52.5</v>
      </c>
      <c r="DE107" s="52" t="s">
        <v>0</v>
      </c>
    </row>
    <row r="108" spans="107:109" ht="39.950000000000003" hidden="1" customHeight="1" x14ac:dyDescent="0.25">
      <c r="DC108" s="7">
        <v>106</v>
      </c>
      <c r="DD108" s="20">
        <v>53</v>
      </c>
      <c r="DE108" s="52" t="s">
        <v>0</v>
      </c>
    </row>
    <row r="109" spans="107:109" ht="39.950000000000003" hidden="1" customHeight="1" x14ac:dyDescent="0.25">
      <c r="DC109" s="7">
        <v>107</v>
      </c>
      <c r="DD109" s="20">
        <v>53.5</v>
      </c>
      <c r="DE109" s="52" t="s">
        <v>0</v>
      </c>
    </row>
    <row r="110" spans="107:109" ht="39.950000000000003" hidden="1" customHeight="1" x14ac:dyDescent="0.25">
      <c r="DC110" s="7">
        <v>108</v>
      </c>
      <c r="DD110" s="20">
        <v>54</v>
      </c>
      <c r="DE110" s="52" t="s">
        <v>0</v>
      </c>
    </row>
    <row r="111" spans="107:109" ht="39.950000000000003" hidden="1" customHeight="1" x14ac:dyDescent="0.25">
      <c r="DC111" s="7">
        <v>109</v>
      </c>
      <c r="DD111" s="20">
        <v>54.5</v>
      </c>
      <c r="DE111" s="52" t="s">
        <v>0</v>
      </c>
    </row>
    <row r="112" spans="107:109" ht="39.950000000000003" hidden="1" customHeight="1" x14ac:dyDescent="0.25">
      <c r="DC112" s="7">
        <v>110</v>
      </c>
      <c r="DD112" s="20">
        <v>55</v>
      </c>
      <c r="DE112" s="52" t="s">
        <v>0</v>
      </c>
    </row>
    <row r="113" spans="107:109" ht="39.950000000000003" hidden="1" customHeight="1" x14ac:dyDescent="0.25">
      <c r="DC113" s="7">
        <v>111</v>
      </c>
      <c r="DD113" s="20">
        <v>55.5</v>
      </c>
      <c r="DE113" s="52" t="s">
        <v>0</v>
      </c>
    </row>
    <row r="114" spans="107:109" ht="39.950000000000003" hidden="1" customHeight="1" x14ac:dyDescent="0.25">
      <c r="DC114" s="7">
        <v>112</v>
      </c>
      <c r="DD114" s="20">
        <v>56</v>
      </c>
      <c r="DE114" s="52" t="s">
        <v>0</v>
      </c>
    </row>
    <row r="115" spans="107:109" ht="39.950000000000003" hidden="1" customHeight="1" x14ac:dyDescent="0.25">
      <c r="DC115" s="7">
        <v>113</v>
      </c>
      <c r="DD115" s="20">
        <v>56.5</v>
      </c>
      <c r="DE115" s="52" t="s">
        <v>0</v>
      </c>
    </row>
    <row r="116" spans="107:109" ht="39.950000000000003" hidden="1" customHeight="1" x14ac:dyDescent="0.25">
      <c r="DC116" s="7">
        <v>114</v>
      </c>
      <c r="DD116" s="20">
        <v>57</v>
      </c>
      <c r="DE116" s="52" t="s">
        <v>0</v>
      </c>
    </row>
    <row r="117" spans="107:109" ht="39.950000000000003" hidden="1" customHeight="1" x14ac:dyDescent="0.25">
      <c r="DC117" s="7">
        <v>115</v>
      </c>
      <c r="DD117" s="20">
        <v>57.5</v>
      </c>
      <c r="DE117" s="52" t="s">
        <v>0</v>
      </c>
    </row>
    <row r="118" spans="107:109" ht="39.950000000000003" hidden="1" customHeight="1" x14ac:dyDescent="0.25">
      <c r="DC118" s="7">
        <v>116</v>
      </c>
      <c r="DD118" s="20">
        <v>58</v>
      </c>
      <c r="DE118" s="52" t="s">
        <v>0</v>
      </c>
    </row>
    <row r="119" spans="107:109" ht="39.950000000000003" hidden="1" customHeight="1" x14ac:dyDescent="0.25">
      <c r="DC119" s="7">
        <v>117</v>
      </c>
      <c r="DD119" s="20">
        <v>58.5</v>
      </c>
      <c r="DE119" s="52" t="s">
        <v>0</v>
      </c>
    </row>
    <row r="120" spans="107:109" ht="39.950000000000003" hidden="1" customHeight="1" x14ac:dyDescent="0.25">
      <c r="DC120" s="7">
        <v>118</v>
      </c>
      <c r="DD120" s="20">
        <v>59</v>
      </c>
      <c r="DE120" s="52" t="s">
        <v>0</v>
      </c>
    </row>
    <row r="121" spans="107:109" ht="39.950000000000003" hidden="1" customHeight="1" x14ac:dyDescent="0.25">
      <c r="DC121" s="7">
        <v>119</v>
      </c>
      <c r="DD121" s="20">
        <v>59.5</v>
      </c>
      <c r="DE121" s="52" t="s">
        <v>0</v>
      </c>
    </row>
    <row r="122" spans="107:109" ht="39.950000000000003" hidden="1" customHeight="1" x14ac:dyDescent="0.25">
      <c r="DC122" s="7">
        <v>120</v>
      </c>
      <c r="DD122" s="20">
        <v>60</v>
      </c>
      <c r="DE122" s="52" t="s">
        <v>0</v>
      </c>
    </row>
    <row r="123" spans="107:109" ht="39.950000000000003" hidden="1" customHeight="1" x14ac:dyDescent="0.25">
      <c r="DC123" s="7">
        <v>121</v>
      </c>
      <c r="DD123" s="20">
        <v>60.5</v>
      </c>
      <c r="DE123" s="52" t="s">
        <v>0</v>
      </c>
    </row>
    <row r="124" spans="107:109" ht="39.950000000000003" hidden="1" customHeight="1" x14ac:dyDescent="0.25">
      <c r="DC124" s="7">
        <v>122</v>
      </c>
      <c r="DD124" s="20">
        <v>61</v>
      </c>
      <c r="DE124" s="52" t="s">
        <v>0</v>
      </c>
    </row>
    <row r="125" spans="107:109" ht="39.950000000000003" hidden="1" customHeight="1" x14ac:dyDescent="0.25">
      <c r="DC125" s="7">
        <v>123</v>
      </c>
      <c r="DD125" s="20">
        <v>61.5</v>
      </c>
      <c r="DE125" s="52" t="s">
        <v>0</v>
      </c>
    </row>
    <row r="126" spans="107:109" ht="39.950000000000003" hidden="1" customHeight="1" x14ac:dyDescent="0.25">
      <c r="DC126" s="7">
        <v>124</v>
      </c>
      <c r="DD126" s="20">
        <v>62</v>
      </c>
      <c r="DE126" s="52" t="s">
        <v>0</v>
      </c>
    </row>
    <row r="127" spans="107:109" ht="39.950000000000003" hidden="1" customHeight="1" x14ac:dyDescent="0.25">
      <c r="DC127" s="7">
        <v>125</v>
      </c>
      <c r="DD127" s="20">
        <v>62.5</v>
      </c>
      <c r="DE127" s="52" t="s">
        <v>0</v>
      </c>
    </row>
    <row r="128" spans="107:109" ht="39.950000000000003" hidden="1" customHeight="1" x14ac:dyDescent="0.25">
      <c r="DC128" s="7">
        <v>126</v>
      </c>
      <c r="DD128" s="20">
        <v>63</v>
      </c>
      <c r="DE128" s="52" t="s">
        <v>0</v>
      </c>
    </row>
    <row r="129" spans="107:109" ht="39.950000000000003" hidden="1" customHeight="1" x14ac:dyDescent="0.25">
      <c r="DC129" s="7">
        <v>127</v>
      </c>
      <c r="DD129" s="20">
        <v>63.5</v>
      </c>
      <c r="DE129" s="52" t="s">
        <v>0</v>
      </c>
    </row>
    <row r="130" spans="107:109" ht="39.950000000000003" hidden="1" customHeight="1" x14ac:dyDescent="0.25">
      <c r="DC130" s="7">
        <v>128</v>
      </c>
      <c r="DD130" s="20">
        <v>64</v>
      </c>
      <c r="DE130" s="52" t="s">
        <v>0</v>
      </c>
    </row>
    <row r="131" spans="107:109" ht="39.950000000000003" hidden="1" customHeight="1" x14ac:dyDescent="0.25">
      <c r="DC131" s="7">
        <v>129</v>
      </c>
      <c r="DD131" s="20">
        <v>64.5</v>
      </c>
      <c r="DE131" s="52" t="s">
        <v>0</v>
      </c>
    </row>
    <row r="132" spans="107:109" ht="39.950000000000003" hidden="1" customHeight="1" x14ac:dyDescent="0.25">
      <c r="DC132" s="7">
        <v>130</v>
      </c>
      <c r="DD132" s="20">
        <v>65</v>
      </c>
      <c r="DE132" s="52" t="s">
        <v>0</v>
      </c>
    </row>
    <row r="133" spans="107:109" ht="39.950000000000003" hidden="1" customHeight="1" x14ac:dyDescent="0.25">
      <c r="DC133" s="7">
        <v>131</v>
      </c>
      <c r="DD133" s="20">
        <v>65.5</v>
      </c>
      <c r="DE133" s="52" t="s">
        <v>0</v>
      </c>
    </row>
    <row r="134" spans="107:109" ht="39.950000000000003" hidden="1" customHeight="1" x14ac:dyDescent="0.25">
      <c r="DC134" s="7">
        <v>132</v>
      </c>
      <c r="DD134" s="20">
        <v>66</v>
      </c>
      <c r="DE134" s="52" t="s">
        <v>0</v>
      </c>
    </row>
    <row r="135" spans="107:109" ht="39.950000000000003" hidden="1" customHeight="1" x14ac:dyDescent="0.25">
      <c r="DC135" s="7">
        <v>133</v>
      </c>
      <c r="DD135" s="20">
        <v>66.5</v>
      </c>
      <c r="DE135" s="52" t="s">
        <v>0</v>
      </c>
    </row>
    <row r="136" spans="107:109" ht="39.950000000000003" hidden="1" customHeight="1" x14ac:dyDescent="0.25">
      <c r="DC136" s="7">
        <v>134</v>
      </c>
      <c r="DD136" s="20">
        <v>67</v>
      </c>
      <c r="DE136" s="52" t="s">
        <v>0</v>
      </c>
    </row>
    <row r="137" spans="107:109" ht="39.950000000000003" hidden="1" customHeight="1" x14ac:dyDescent="0.25">
      <c r="DC137" s="7">
        <v>135</v>
      </c>
      <c r="DD137" s="20">
        <v>67.5</v>
      </c>
      <c r="DE137" s="52" t="s">
        <v>0</v>
      </c>
    </row>
    <row r="138" spans="107:109" ht="39.950000000000003" hidden="1" customHeight="1" x14ac:dyDescent="0.25">
      <c r="DC138" s="7">
        <v>136</v>
      </c>
      <c r="DD138" s="20">
        <v>68</v>
      </c>
      <c r="DE138" s="52" t="s">
        <v>0</v>
      </c>
    </row>
    <row r="139" spans="107:109" ht="39.950000000000003" hidden="1" customHeight="1" x14ac:dyDescent="0.25">
      <c r="DC139" s="7">
        <v>137</v>
      </c>
      <c r="DD139" s="20">
        <v>68.5</v>
      </c>
      <c r="DE139" s="52" t="s">
        <v>0</v>
      </c>
    </row>
    <row r="140" spans="107:109" ht="39.950000000000003" hidden="1" customHeight="1" x14ac:dyDescent="0.25">
      <c r="DC140" s="7">
        <v>138</v>
      </c>
      <c r="DD140" s="20">
        <v>69</v>
      </c>
      <c r="DE140" s="52" t="s">
        <v>0</v>
      </c>
    </row>
    <row r="141" spans="107:109" ht="39.950000000000003" hidden="1" customHeight="1" x14ac:dyDescent="0.25">
      <c r="DC141" s="7">
        <v>139</v>
      </c>
      <c r="DD141" s="20">
        <v>69.5</v>
      </c>
      <c r="DE141" s="52" t="s">
        <v>0</v>
      </c>
    </row>
    <row r="142" spans="107:109" ht="39.950000000000003" hidden="1" customHeight="1" x14ac:dyDescent="0.25">
      <c r="DC142" s="7">
        <v>140</v>
      </c>
      <c r="DD142" s="20">
        <v>70</v>
      </c>
      <c r="DE142" s="52" t="s">
        <v>0</v>
      </c>
    </row>
    <row r="143" spans="107:109" ht="39.950000000000003" hidden="1" customHeight="1" x14ac:dyDescent="0.25">
      <c r="DC143" s="7">
        <v>141</v>
      </c>
      <c r="DD143" s="20">
        <v>70.5</v>
      </c>
      <c r="DE143" s="52" t="s">
        <v>0</v>
      </c>
    </row>
    <row r="144" spans="107:109" ht="39.950000000000003" hidden="1" customHeight="1" x14ac:dyDescent="0.25">
      <c r="DC144" s="7">
        <v>142</v>
      </c>
      <c r="DD144" s="20">
        <v>71</v>
      </c>
      <c r="DE144" s="52" t="s">
        <v>0</v>
      </c>
    </row>
    <row r="145" spans="107:109" ht="39.950000000000003" hidden="1" customHeight="1" x14ac:dyDescent="0.25">
      <c r="DC145" s="7">
        <v>143</v>
      </c>
      <c r="DD145" s="20">
        <v>71.5</v>
      </c>
      <c r="DE145" s="52" t="s">
        <v>0</v>
      </c>
    </row>
    <row r="146" spans="107:109" ht="39.950000000000003" hidden="1" customHeight="1" x14ac:dyDescent="0.25">
      <c r="DC146" s="7">
        <v>144</v>
      </c>
      <c r="DD146" s="20">
        <v>72</v>
      </c>
      <c r="DE146" s="52" t="s">
        <v>0</v>
      </c>
    </row>
    <row r="147" spans="107:109" ht="39.950000000000003" hidden="1" customHeight="1" x14ac:dyDescent="0.25">
      <c r="DC147" s="7">
        <v>145</v>
      </c>
      <c r="DD147" s="20">
        <v>72.5</v>
      </c>
      <c r="DE147" s="52" t="s">
        <v>0</v>
      </c>
    </row>
    <row r="148" spans="107:109" ht="39.950000000000003" hidden="1" customHeight="1" x14ac:dyDescent="0.25">
      <c r="DC148" s="7">
        <v>146</v>
      </c>
      <c r="DD148" s="20">
        <v>73</v>
      </c>
      <c r="DE148" s="52" t="s">
        <v>0</v>
      </c>
    </row>
    <row r="149" spans="107:109" ht="39.950000000000003" hidden="1" customHeight="1" x14ac:dyDescent="0.25">
      <c r="DC149" s="7">
        <v>147</v>
      </c>
      <c r="DD149" s="20">
        <v>73.5</v>
      </c>
      <c r="DE149" s="52" t="s">
        <v>0</v>
      </c>
    </row>
    <row r="150" spans="107:109" ht="39.950000000000003" hidden="1" customHeight="1" x14ac:dyDescent="0.25">
      <c r="DC150" s="7">
        <v>148</v>
      </c>
      <c r="DD150" s="20">
        <v>74</v>
      </c>
      <c r="DE150" s="52" t="s">
        <v>0</v>
      </c>
    </row>
    <row r="151" spans="107:109" ht="39.950000000000003" hidden="1" customHeight="1" x14ac:dyDescent="0.25">
      <c r="DC151" s="7">
        <v>149</v>
      </c>
      <c r="DD151" s="20">
        <v>74.5</v>
      </c>
      <c r="DE151" s="52" t="s">
        <v>0</v>
      </c>
    </row>
    <row r="152" spans="107:109" ht="39.950000000000003" hidden="1" customHeight="1" x14ac:dyDescent="0.25">
      <c r="DC152" s="7">
        <v>150</v>
      </c>
      <c r="DD152" s="20">
        <v>75</v>
      </c>
      <c r="DE152" s="52" t="s">
        <v>0</v>
      </c>
    </row>
    <row r="153" spans="107:109" ht="39.950000000000003" hidden="1" customHeight="1" x14ac:dyDescent="0.25">
      <c r="DC153" s="7">
        <v>151</v>
      </c>
      <c r="DD153" s="20">
        <v>75.5</v>
      </c>
      <c r="DE153" s="52" t="s">
        <v>0</v>
      </c>
    </row>
    <row r="154" spans="107:109" ht="39.950000000000003" hidden="1" customHeight="1" x14ac:dyDescent="0.25">
      <c r="DC154" s="7">
        <v>152</v>
      </c>
      <c r="DD154" s="20">
        <v>76</v>
      </c>
      <c r="DE154" s="52" t="s">
        <v>0</v>
      </c>
    </row>
    <row r="155" spans="107:109" ht="39.950000000000003" hidden="1" customHeight="1" x14ac:dyDescent="0.25">
      <c r="DC155" s="7">
        <v>153</v>
      </c>
      <c r="DD155" s="20">
        <v>76.5</v>
      </c>
      <c r="DE155" s="52" t="s">
        <v>0</v>
      </c>
    </row>
    <row r="156" spans="107:109" ht="39.950000000000003" hidden="1" customHeight="1" x14ac:dyDescent="0.25">
      <c r="DC156" s="7">
        <v>154</v>
      </c>
      <c r="DD156" s="20">
        <v>77</v>
      </c>
      <c r="DE156" s="52" t="s">
        <v>0</v>
      </c>
    </row>
    <row r="157" spans="107:109" ht="39.950000000000003" hidden="1" customHeight="1" x14ac:dyDescent="0.25">
      <c r="DC157" s="7">
        <v>155</v>
      </c>
      <c r="DD157" s="20">
        <v>77.5</v>
      </c>
      <c r="DE157" s="52" t="s">
        <v>0</v>
      </c>
    </row>
    <row r="158" spans="107:109" ht="39.950000000000003" hidden="1" customHeight="1" x14ac:dyDescent="0.25">
      <c r="DC158" s="7">
        <v>156</v>
      </c>
      <c r="DD158" s="20">
        <v>78</v>
      </c>
      <c r="DE158" s="52" t="s">
        <v>0</v>
      </c>
    </row>
    <row r="159" spans="107:109" ht="39.950000000000003" hidden="1" customHeight="1" x14ac:dyDescent="0.25">
      <c r="DC159" s="7">
        <v>157</v>
      </c>
      <c r="DD159" s="20">
        <v>78.5</v>
      </c>
      <c r="DE159" s="52" t="s">
        <v>0</v>
      </c>
    </row>
    <row r="160" spans="107:109" ht="39.950000000000003" hidden="1" customHeight="1" x14ac:dyDescent="0.25">
      <c r="DC160" s="7">
        <v>158</v>
      </c>
      <c r="DD160" s="20">
        <v>79</v>
      </c>
      <c r="DE160" s="52" t="s">
        <v>0</v>
      </c>
    </row>
    <row r="161" spans="107:109" ht="39.950000000000003" hidden="1" customHeight="1" x14ac:dyDescent="0.25">
      <c r="DC161" s="7">
        <v>159</v>
      </c>
      <c r="DD161" s="20">
        <v>79.5</v>
      </c>
      <c r="DE161" s="52" t="s">
        <v>0</v>
      </c>
    </row>
    <row r="162" spans="107:109" ht="39.950000000000003" hidden="1" customHeight="1" x14ac:dyDescent="0.25">
      <c r="DC162" s="7">
        <v>160</v>
      </c>
      <c r="DD162" s="20">
        <v>80</v>
      </c>
      <c r="DE162" s="52" t="s">
        <v>0</v>
      </c>
    </row>
    <row r="163" spans="107:109" ht="39.950000000000003" hidden="1" customHeight="1" x14ac:dyDescent="0.25">
      <c r="DC163" s="7">
        <v>161</v>
      </c>
      <c r="DD163" s="20">
        <v>80.5</v>
      </c>
      <c r="DE163" s="52" t="s">
        <v>0</v>
      </c>
    </row>
    <row r="164" spans="107:109" ht="39.950000000000003" hidden="1" customHeight="1" x14ac:dyDescent="0.25">
      <c r="DC164" s="7">
        <v>162</v>
      </c>
      <c r="DD164" s="20">
        <v>81</v>
      </c>
      <c r="DE164" s="52" t="s">
        <v>0</v>
      </c>
    </row>
    <row r="165" spans="107:109" ht="39.950000000000003" hidden="1" customHeight="1" x14ac:dyDescent="0.25">
      <c r="DC165" s="7">
        <v>163</v>
      </c>
      <c r="DD165" s="20">
        <v>81.5</v>
      </c>
      <c r="DE165" s="52" t="s">
        <v>0</v>
      </c>
    </row>
    <row r="166" spans="107:109" ht="39.950000000000003" hidden="1" customHeight="1" x14ac:dyDescent="0.25">
      <c r="DC166" s="7">
        <v>164</v>
      </c>
      <c r="DD166" s="20">
        <v>82</v>
      </c>
      <c r="DE166" s="52" t="s">
        <v>0</v>
      </c>
    </row>
    <row r="167" spans="107:109" ht="39.950000000000003" hidden="1" customHeight="1" x14ac:dyDescent="0.25">
      <c r="DC167" s="7">
        <v>165</v>
      </c>
      <c r="DD167" s="20">
        <v>82.5</v>
      </c>
      <c r="DE167" s="52" t="s">
        <v>0</v>
      </c>
    </row>
    <row r="168" spans="107:109" ht="39.950000000000003" hidden="1" customHeight="1" x14ac:dyDescent="0.25">
      <c r="DC168" s="7">
        <v>166</v>
      </c>
      <c r="DD168" s="20">
        <v>83</v>
      </c>
      <c r="DE168" s="52" t="s">
        <v>0</v>
      </c>
    </row>
    <row r="169" spans="107:109" ht="39.950000000000003" hidden="1" customHeight="1" x14ac:dyDescent="0.25">
      <c r="DC169" s="7">
        <v>167</v>
      </c>
      <c r="DD169" s="20">
        <v>83.5</v>
      </c>
      <c r="DE169" s="52" t="s">
        <v>0</v>
      </c>
    </row>
    <row r="170" spans="107:109" ht="39.950000000000003" hidden="1" customHeight="1" x14ac:dyDescent="0.25">
      <c r="DC170" s="7">
        <v>168</v>
      </c>
      <c r="DD170" s="20">
        <v>84</v>
      </c>
      <c r="DE170" s="52" t="s">
        <v>0</v>
      </c>
    </row>
    <row r="171" spans="107:109" ht="39.950000000000003" hidden="1" customHeight="1" x14ac:dyDescent="0.25">
      <c r="DC171" s="7">
        <v>169</v>
      </c>
      <c r="DD171" s="20">
        <v>84.5</v>
      </c>
      <c r="DE171" s="52" t="s">
        <v>0</v>
      </c>
    </row>
    <row r="172" spans="107:109" ht="39.950000000000003" hidden="1" customHeight="1" x14ac:dyDescent="0.25">
      <c r="DC172" s="7">
        <v>170</v>
      </c>
      <c r="DD172" s="20">
        <v>85</v>
      </c>
      <c r="DE172" s="52" t="s">
        <v>0</v>
      </c>
    </row>
    <row r="173" spans="107:109" ht="39.950000000000003" hidden="1" customHeight="1" x14ac:dyDescent="0.25">
      <c r="DC173" s="7">
        <v>171</v>
      </c>
      <c r="DD173" s="20">
        <v>85.5</v>
      </c>
      <c r="DE173" s="52" t="s">
        <v>0</v>
      </c>
    </row>
    <row r="174" spans="107:109" ht="39.950000000000003" hidden="1" customHeight="1" x14ac:dyDescent="0.25">
      <c r="DC174" s="7">
        <v>172</v>
      </c>
      <c r="DD174" s="20">
        <v>86</v>
      </c>
      <c r="DE174" s="52" t="s">
        <v>0</v>
      </c>
    </row>
    <row r="175" spans="107:109" ht="39.950000000000003" hidden="1" customHeight="1" x14ac:dyDescent="0.25">
      <c r="DC175" s="7">
        <v>173</v>
      </c>
      <c r="DD175" s="20">
        <v>86.5</v>
      </c>
      <c r="DE175" s="52" t="s">
        <v>0</v>
      </c>
    </row>
    <row r="176" spans="107:109" ht="39.950000000000003" hidden="1" customHeight="1" x14ac:dyDescent="0.25">
      <c r="DC176" s="7">
        <v>174</v>
      </c>
      <c r="DD176" s="20">
        <v>87</v>
      </c>
      <c r="DE176" s="52" t="s">
        <v>0</v>
      </c>
    </row>
    <row r="177" spans="107:109" ht="39.950000000000003" hidden="1" customHeight="1" x14ac:dyDescent="0.25">
      <c r="DC177" s="7">
        <v>175</v>
      </c>
      <c r="DD177" s="20">
        <v>87.5</v>
      </c>
      <c r="DE177" s="52" t="s">
        <v>0</v>
      </c>
    </row>
    <row r="178" spans="107:109" ht="39.950000000000003" hidden="1" customHeight="1" x14ac:dyDescent="0.25">
      <c r="DC178" s="7">
        <v>176</v>
      </c>
      <c r="DD178" s="20">
        <v>88</v>
      </c>
      <c r="DE178" s="52" t="s">
        <v>0</v>
      </c>
    </row>
    <row r="179" spans="107:109" ht="39.950000000000003" hidden="1" customHeight="1" x14ac:dyDescent="0.25">
      <c r="DC179" s="7">
        <v>177</v>
      </c>
      <c r="DD179" s="20">
        <v>88.5</v>
      </c>
      <c r="DE179" s="52" t="s">
        <v>0</v>
      </c>
    </row>
    <row r="180" spans="107:109" ht="39.950000000000003" hidden="1" customHeight="1" x14ac:dyDescent="0.25">
      <c r="DC180" s="7">
        <v>178</v>
      </c>
      <c r="DD180" s="20">
        <v>89</v>
      </c>
      <c r="DE180" s="52" t="s">
        <v>0</v>
      </c>
    </row>
    <row r="181" spans="107:109" ht="39.950000000000003" hidden="1" customHeight="1" x14ac:dyDescent="0.25">
      <c r="DC181" s="7">
        <v>179</v>
      </c>
      <c r="DD181" s="20">
        <v>89.5</v>
      </c>
      <c r="DE181" s="52" t="s">
        <v>0</v>
      </c>
    </row>
    <row r="182" spans="107:109" ht="39.950000000000003" hidden="1" customHeight="1" x14ac:dyDescent="0.25">
      <c r="DC182" s="7">
        <v>180</v>
      </c>
      <c r="DD182" s="20">
        <v>90</v>
      </c>
      <c r="DE182" s="52" t="s">
        <v>0</v>
      </c>
    </row>
    <row r="183" spans="107:109" ht="39.950000000000003" hidden="1" customHeight="1" x14ac:dyDescent="0.25">
      <c r="DC183" s="7">
        <v>181</v>
      </c>
      <c r="DD183" s="20">
        <v>90.5</v>
      </c>
      <c r="DE183" s="52" t="s">
        <v>0</v>
      </c>
    </row>
    <row r="184" spans="107:109" ht="39.950000000000003" hidden="1" customHeight="1" x14ac:dyDescent="0.25">
      <c r="DC184" s="7">
        <v>182</v>
      </c>
      <c r="DD184" s="20">
        <v>91</v>
      </c>
      <c r="DE184" s="52" t="s">
        <v>0</v>
      </c>
    </row>
    <row r="185" spans="107:109" ht="39.950000000000003" hidden="1" customHeight="1" x14ac:dyDescent="0.25">
      <c r="DC185" s="7">
        <v>183</v>
      </c>
      <c r="DD185" s="20">
        <v>91.5</v>
      </c>
      <c r="DE185" s="52" t="s">
        <v>0</v>
      </c>
    </row>
    <row r="186" spans="107:109" ht="39.950000000000003" hidden="1" customHeight="1" x14ac:dyDescent="0.25">
      <c r="DC186" s="7">
        <v>184</v>
      </c>
      <c r="DD186" s="20">
        <v>92</v>
      </c>
      <c r="DE186" s="52" t="s">
        <v>0</v>
      </c>
    </row>
    <row r="187" spans="107:109" ht="39.950000000000003" hidden="1" customHeight="1" x14ac:dyDescent="0.25">
      <c r="DC187" s="7">
        <v>185</v>
      </c>
      <c r="DD187" s="20">
        <v>92.5</v>
      </c>
      <c r="DE187" s="52" t="s">
        <v>0</v>
      </c>
    </row>
    <row r="188" spans="107:109" ht="39.950000000000003" hidden="1" customHeight="1" x14ac:dyDescent="0.25">
      <c r="DC188" s="7">
        <v>186</v>
      </c>
      <c r="DD188" s="20">
        <v>93</v>
      </c>
      <c r="DE188" s="52" t="s">
        <v>0</v>
      </c>
    </row>
    <row r="189" spans="107:109" ht="39.950000000000003" hidden="1" customHeight="1" x14ac:dyDescent="0.25">
      <c r="DC189" s="7">
        <v>187</v>
      </c>
      <c r="DD189" s="20">
        <v>93.5</v>
      </c>
      <c r="DE189" s="52" t="s">
        <v>0</v>
      </c>
    </row>
    <row r="190" spans="107:109" ht="39.950000000000003" hidden="1" customHeight="1" x14ac:dyDescent="0.25">
      <c r="DC190" s="7">
        <v>188</v>
      </c>
      <c r="DD190" s="20">
        <v>94</v>
      </c>
      <c r="DE190" s="52" t="s">
        <v>0</v>
      </c>
    </row>
    <row r="191" spans="107:109" ht="39.950000000000003" hidden="1" customHeight="1" x14ac:dyDescent="0.25">
      <c r="DC191" s="7">
        <v>189</v>
      </c>
      <c r="DD191" s="20">
        <v>94.5</v>
      </c>
      <c r="DE191" s="52" t="s">
        <v>0</v>
      </c>
    </row>
    <row r="192" spans="107:109" ht="39.950000000000003" hidden="1" customHeight="1" x14ac:dyDescent="0.25">
      <c r="DC192" s="7">
        <v>190</v>
      </c>
      <c r="DD192" s="20">
        <v>95</v>
      </c>
      <c r="DE192" s="52" t="s">
        <v>0</v>
      </c>
    </row>
    <row r="193" spans="107:109" ht="39.950000000000003" hidden="1" customHeight="1" x14ac:dyDescent="0.25">
      <c r="DC193" s="7">
        <v>191</v>
      </c>
      <c r="DD193" s="20">
        <v>95.5</v>
      </c>
      <c r="DE193" s="52" t="s">
        <v>0</v>
      </c>
    </row>
    <row r="194" spans="107:109" ht="39.950000000000003" hidden="1" customHeight="1" x14ac:dyDescent="0.25">
      <c r="DC194" s="7">
        <v>192</v>
      </c>
      <c r="DD194" s="20">
        <v>96</v>
      </c>
      <c r="DE194" s="52" t="s">
        <v>0</v>
      </c>
    </row>
    <row r="195" spans="107:109" ht="39.950000000000003" hidden="1" customHeight="1" x14ac:dyDescent="0.25">
      <c r="DC195" s="7">
        <v>193</v>
      </c>
      <c r="DD195" s="20">
        <v>96.5</v>
      </c>
      <c r="DE195" s="52" t="s">
        <v>0</v>
      </c>
    </row>
    <row r="196" spans="107:109" ht="39.950000000000003" hidden="1" customHeight="1" x14ac:dyDescent="0.25">
      <c r="DC196" s="7">
        <v>194</v>
      </c>
      <c r="DD196" s="20">
        <v>97</v>
      </c>
      <c r="DE196" s="52" t="s">
        <v>0</v>
      </c>
    </row>
    <row r="197" spans="107:109" ht="39.950000000000003" hidden="1" customHeight="1" x14ac:dyDescent="0.25">
      <c r="DC197" s="7">
        <v>195</v>
      </c>
      <c r="DD197" s="20">
        <v>97.5</v>
      </c>
      <c r="DE197" s="52" t="s">
        <v>0</v>
      </c>
    </row>
    <row r="198" spans="107:109" ht="39.950000000000003" hidden="1" customHeight="1" x14ac:dyDescent="0.25">
      <c r="DC198" s="7">
        <v>196</v>
      </c>
      <c r="DD198" s="20">
        <v>98</v>
      </c>
      <c r="DE198" s="52" t="s">
        <v>0</v>
      </c>
    </row>
    <row r="199" spans="107:109" ht="39.950000000000003" hidden="1" customHeight="1" x14ac:dyDescent="0.25">
      <c r="DC199" s="7">
        <v>197</v>
      </c>
      <c r="DD199" s="20">
        <v>98.5</v>
      </c>
      <c r="DE199" s="52" t="s">
        <v>0</v>
      </c>
    </row>
    <row r="200" spans="107:109" ht="39.950000000000003" hidden="1" customHeight="1" x14ac:dyDescent="0.25">
      <c r="DC200" s="7">
        <v>198</v>
      </c>
      <c r="DD200" s="20">
        <v>99</v>
      </c>
      <c r="DE200" s="52" t="s">
        <v>0</v>
      </c>
    </row>
    <row r="201" spans="107:109" ht="39.950000000000003" hidden="1" customHeight="1" x14ac:dyDescent="0.25">
      <c r="DC201" s="7">
        <v>199</v>
      </c>
      <c r="DD201" s="20">
        <v>99.5</v>
      </c>
      <c r="DE201" s="52" t="s">
        <v>0</v>
      </c>
    </row>
    <row r="202" spans="107:109" ht="39.950000000000003" hidden="1" customHeight="1" x14ac:dyDescent="0.25">
      <c r="DC202" s="7">
        <v>200</v>
      </c>
      <c r="DD202" s="20">
        <v>100</v>
      </c>
      <c r="DE202" s="52" t="s">
        <v>0</v>
      </c>
    </row>
    <row r="203" spans="107:109" ht="39.950000000000003" hidden="1" customHeight="1" x14ac:dyDescent="0.25">
      <c r="DC203" s="7">
        <v>201</v>
      </c>
      <c r="DD203" s="20">
        <v>100.5</v>
      </c>
      <c r="DE203" s="52" t="s">
        <v>0</v>
      </c>
    </row>
    <row r="204" spans="107:109" ht="39.950000000000003" hidden="1" customHeight="1" x14ac:dyDescent="0.25">
      <c r="DC204" s="7">
        <v>202</v>
      </c>
      <c r="DD204" s="20">
        <v>101</v>
      </c>
      <c r="DE204" s="52" t="s">
        <v>0</v>
      </c>
    </row>
    <row r="205" spans="107:109" ht="39.950000000000003" hidden="1" customHeight="1" x14ac:dyDescent="0.25">
      <c r="DC205" s="7">
        <v>203</v>
      </c>
      <c r="DD205" s="20">
        <v>101.5</v>
      </c>
      <c r="DE205" s="52" t="s">
        <v>0</v>
      </c>
    </row>
    <row r="206" spans="107:109" ht="39.950000000000003" hidden="1" customHeight="1" x14ac:dyDescent="0.25">
      <c r="DC206" s="7">
        <v>204</v>
      </c>
      <c r="DD206" s="20">
        <v>102</v>
      </c>
      <c r="DE206" s="52" t="s">
        <v>0</v>
      </c>
    </row>
    <row r="207" spans="107:109" ht="39.950000000000003" hidden="1" customHeight="1" x14ac:dyDescent="0.25">
      <c r="DC207" s="7">
        <v>205</v>
      </c>
      <c r="DD207" s="20">
        <v>102.5</v>
      </c>
      <c r="DE207" s="52" t="s">
        <v>0</v>
      </c>
    </row>
    <row r="208" spans="107:109" ht="39.950000000000003" hidden="1" customHeight="1" x14ac:dyDescent="0.25">
      <c r="DC208" s="7">
        <v>206</v>
      </c>
      <c r="DD208" s="20">
        <v>103</v>
      </c>
      <c r="DE208" s="52" t="s">
        <v>0</v>
      </c>
    </row>
    <row r="209" spans="107:109" ht="39.950000000000003" hidden="1" customHeight="1" x14ac:dyDescent="0.25">
      <c r="DC209" s="7">
        <v>207</v>
      </c>
      <c r="DD209" s="20">
        <v>103.5</v>
      </c>
      <c r="DE209" s="52" t="s">
        <v>0</v>
      </c>
    </row>
    <row r="210" spans="107:109" ht="39.950000000000003" hidden="1" customHeight="1" x14ac:dyDescent="0.25">
      <c r="DC210" s="7">
        <v>208</v>
      </c>
      <c r="DD210" s="20">
        <v>104</v>
      </c>
      <c r="DE210" s="52" t="s">
        <v>0</v>
      </c>
    </row>
    <row r="211" spans="107:109" ht="39.950000000000003" hidden="1" customHeight="1" x14ac:dyDescent="0.25">
      <c r="DC211" s="7">
        <v>209</v>
      </c>
      <c r="DD211" s="20">
        <v>104.5</v>
      </c>
      <c r="DE211" s="52" t="s">
        <v>0</v>
      </c>
    </row>
    <row r="212" spans="107:109" ht="39.950000000000003" hidden="1" customHeight="1" x14ac:dyDescent="0.25">
      <c r="DC212" s="7">
        <v>210</v>
      </c>
      <c r="DD212" s="20">
        <v>105</v>
      </c>
      <c r="DE212" s="52" t="s">
        <v>0</v>
      </c>
    </row>
    <row r="213" spans="107:109" ht="39.950000000000003" hidden="1" customHeight="1" x14ac:dyDescent="0.25">
      <c r="DC213" s="7">
        <v>211</v>
      </c>
      <c r="DD213" s="20">
        <v>105.5</v>
      </c>
      <c r="DE213" s="52" t="s">
        <v>0</v>
      </c>
    </row>
    <row r="214" spans="107:109" ht="39.950000000000003" hidden="1" customHeight="1" x14ac:dyDescent="0.25">
      <c r="DC214" s="7">
        <v>212</v>
      </c>
      <c r="DD214" s="20">
        <v>106</v>
      </c>
      <c r="DE214" s="52" t="s">
        <v>0</v>
      </c>
    </row>
    <row r="215" spans="107:109" ht="39.950000000000003" hidden="1" customHeight="1" x14ac:dyDescent="0.25">
      <c r="DC215" s="7">
        <v>213</v>
      </c>
      <c r="DD215" s="20">
        <v>106.5</v>
      </c>
      <c r="DE215" s="52" t="s">
        <v>0</v>
      </c>
    </row>
    <row r="216" spans="107:109" ht="39.950000000000003" hidden="1" customHeight="1" x14ac:dyDescent="0.25">
      <c r="DC216" s="7">
        <v>214</v>
      </c>
      <c r="DD216" s="20">
        <v>107</v>
      </c>
      <c r="DE216" s="52" t="s">
        <v>0</v>
      </c>
    </row>
    <row r="217" spans="107:109" ht="39.950000000000003" hidden="1" customHeight="1" x14ac:dyDescent="0.25">
      <c r="DC217" s="7">
        <v>215</v>
      </c>
      <c r="DD217" s="20">
        <v>107.5</v>
      </c>
      <c r="DE217" s="52" t="s">
        <v>0</v>
      </c>
    </row>
    <row r="218" spans="107:109" ht="39.950000000000003" hidden="1" customHeight="1" x14ac:dyDescent="0.25">
      <c r="DC218" s="7">
        <v>216</v>
      </c>
      <c r="DD218" s="20">
        <v>108</v>
      </c>
      <c r="DE218" s="52" t="s">
        <v>0</v>
      </c>
    </row>
    <row r="219" spans="107:109" ht="39.950000000000003" hidden="1" customHeight="1" x14ac:dyDescent="0.25">
      <c r="DC219" s="7">
        <v>217</v>
      </c>
      <c r="DD219" s="20">
        <v>108.5</v>
      </c>
      <c r="DE219" s="52" t="s">
        <v>0</v>
      </c>
    </row>
    <row r="220" spans="107:109" ht="39.950000000000003" hidden="1" customHeight="1" x14ac:dyDescent="0.25">
      <c r="DC220" s="7">
        <v>218</v>
      </c>
      <c r="DD220" s="20">
        <v>109</v>
      </c>
      <c r="DE220" s="52" t="s">
        <v>0</v>
      </c>
    </row>
    <row r="221" spans="107:109" ht="39.950000000000003" hidden="1" customHeight="1" x14ac:dyDescent="0.25">
      <c r="DC221" s="7">
        <v>219</v>
      </c>
      <c r="DD221" s="20">
        <v>109.5</v>
      </c>
      <c r="DE221" s="52" t="s">
        <v>0</v>
      </c>
    </row>
    <row r="222" spans="107:109" ht="39.950000000000003" hidden="1" customHeight="1" x14ac:dyDescent="0.25">
      <c r="DC222" s="7">
        <v>220</v>
      </c>
      <c r="DD222" s="20">
        <v>110</v>
      </c>
      <c r="DE222" s="52" t="s">
        <v>0</v>
      </c>
    </row>
    <row r="223" spans="107:109" ht="39.950000000000003" hidden="1" customHeight="1" x14ac:dyDescent="0.25">
      <c r="DC223" s="7">
        <v>221</v>
      </c>
      <c r="DD223" s="20">
        <v>110.5</v>
      </c>
      <c r="DE223" s="52" t="s">
        <v>0</v>
      </c>
    </row>
    <row r="224" spans="107:109" ht="39.950000000000003" hidden="1" customHeight="1" x14ac:dyDescent="0.25">
      <c r="DC224" s="7">
        <v>222</v>
      </c>
      <c r="DD224" s="20">
        <v>111</v>
      </c>
      <c r="DE224" s="52" t="s">
        <v>0</v>
      </c>
    </row>
    <row r="225" spans="107:109" ht="39.950000000000003" hidden="1" customHeight="1" x14ac:dyDescent="0.25">
      <c r="DC225" s="7">
        <v>223</v>
      </c>
      <c r="DD225" s="20">
        <v>111.5</v>
      </c>
      <c r="DE225" s="52" t="s">
        <v>0</v>
      </c>
    </row>
    <row r="226" spans="107:109" ht="39.950000000000003" hidden="1" customHeight="1" x14ac:dyDescent="0.25">
      <c r="DC226" s="7">
        <v>224</v>
      </c>
      <c r="DD226" s="20">
        <v>112</v>
      </c>
      <c r="DE226" s="52" t="s">
        <v>0</v>
      </c>
    </row>
    <row r="227" spans="107:109" ht="39.950000000000003" hidden="1" customHeight="1" x14ac:dyDescent="0.25">
      <c r="DC227" s="7">
        <v>225</v>
      </c>
      <c r="DD227" s="20">
        <v>112.5</v>
      </c>
      <c r="DE227" s="52" t="s">
        <v>0</v>
      </c>
    </row>
    <row r="228" spans="107:109" ht="39.950000000000003" hidden="1" customHeight="1" x14ac:dyDescent="0.25">
      <c r="DC228" s="7">
        <v>226</v>
      </c>
      <c r="DD228" s="20">
        <v>113</v>
      </c>
      <c r="DE228" s="52" t="s">
        <v>0</v>
      </c>
    </row>
    <row r="229" spans="107:109" ht="39.950000000000003" hidden="1" customHeight="1" x14ac:dyDescent="0.25">
      <c r="DC229" s="7">
        <v>227</v>
      </c>
      <c r="DD229" s="20">
        <v>113.5</v>
      </c>
      <c r="DE229" s="52" t="s">
        <v>0</v>
      </c>
    </row>
    <row r="230" spans="107:109" ht="39.950000000000003" hidden="1" customHeight="1" x14ac:dyDescent="0.25">
      <c r="DC230" s="7">
        <v>228</v>
      </c>
      <c r="DD230" s="20">
        <v>114</v>
      </c>
      <c r="DE230" s="52" t="s">
        <v>0</v>
      </c>
    </row>
    <row r="231" spans="107:109" ht="39.950000000000003" hidden="1" customHeight="1" x14ac:dyDescent="0.25">
      <c r="DC231" s="7">
        <v>229</v>
      </c>
      <c r="DD231" s="20">
        <v>114.5</v>
      </c>
      <c r="DE231" s="52" t="s">
        <v>0</v>
      </c>
    </row>
    <row r="232" spans="107:109" ht="39.950000000000003" hidden="1" customHeight="1" x14ac:dyDescent="0.25">
      <c r="DC232" s="7">
        <v>230</v>
      </c>
      <c r="DD232" s="20">
        <v>115</v>
      </c>
      <c r="DE232" s="52" t="s">
        <v>0</v>
      </c>
    </row>
    <row r="233" spans="107:109" ht="39.950000000000003" hidden="1" customHeight="1" x14ac:dyDescent="0.25">
      <c r="DC233" s="7">
        <v>231</v>
      </c>
      <c r="DD233" s="20">
        <v>115.5</v>
      </c>
      <c r="DE233" s="52" t="s">
        <v>0</v>
      </c>
    </row>
    <row r="234" spans="107:109" ht="39.950000000000003" hidden="1" customHeight="1" x14ac:dyDescent="0.25">
      <c r="DC234" s="7">
        <v>232</v>
      </c>
      <c r="DD234" s="20">
        <v>116</v>
      </c>
      <c r="DE234" s="52" t="s">
        <v>0</v>
      </c>
    </row>
    <row r="235" spans="107:109" ht="39.950000000000003" hidden="1" customHeight="1" x14ac:dyDescent="0.25">
      <c r="DC235" s="7">
        <v>233</v>
      </c>
      <c r="DD235" s="20">
        <v>116.5</v>
      </c>
      <c r="DE235" s="52" t="s">
        <v>0</v>
      </c>
    </row>
    <row r="236" spans="107:109" ht="39.950000000000003" hidden="1" customHeight="1" x14ac:dyDescent="0.25">
      <c r="DC236" s="7">
        <v>234</v>
      </c>
      <c r="DD236" s="20">
        <v>117</v>
      </c>
      <c r="DE236" s="52" t="s">
        <v>0</v>
      </c>
    </row>
    <row r="237" spans="107:109" ht="39.950000000000003" hidden="1" customHeight="1" x14ac:dyDescent="0.25">
      <c r="DC237" s="7">
        <v>235</v>
      </c>
      <c r="DD237" s="20">
        <v>117.5</v>
      </c>
      <c r="DE237" s="52" t="s">
        <v>0</v>
      </c>
    </row>
    <row r="238" spans="107:109" ht="39.950000000000003" hidden="1" customHeight="1" x14ac:dyDescent="0.25">
      <c r="DC238" s="7">
        <v>236</v>
      </c>
      <c r="DD238" s="20">
        <v>118</v>
      </c>
      <c r="DE238" s="52" t="s">
        <v>0</v>
      </c>
    </row>
    <row r="239" spans="107:109" ht="39.950000000000003" hidden="1" customHeight="1" x14ac:dyDescent="0.25">
      <c r="DC239" s="7">
        <v>237</v>
      </c>
      <c r="DD239" s="20">
        <v>118.5</v>
      </c>
      <c r="DE239" s="52" t="s">
        <v>0</v>
      </c>
    </row>
    <row r="240" spans="107:109" ht="39.950000000000003" hidden="1" customHeight="1" x14ac:dyDescent="0.25">
      <c r="DC240" s="7">
        <v>238</v>
      </c>
      <c r="DD240" s="20">
        <v>119</v>
      </c>
      <c r="DE240" s="52" t="s">
        <v>0</v>
      </c>
    </row>
    <row r="241" spans="1:109" ht="39.950000000000003" hidden="1" customHeight="1" x14ac:dyDescent="0.25">
      <c r="DC241" s="7">
        <v>239</v>
      </c>
      <c r="DD241" s="20">
        <v>119.5</v>
      </c>
      <c r="DE241" s="52" t="s">
        <v>0</v>
      </c>
    </row>
    <row r="242" spans="1:109" ht="39.950000000000003" hidden="1" customHeight="1" x14ac:dyDescent="0.25">
      <c r="DC242" s="7">
        <v>240</v>
      </c>
      <c r="DD242" s="20">
        <v>120</v>
      </c>
      <c r="DE242" s="52" t="s">
        <v>0</v>
      </c>
    </row>
    <row r="243" spans="1:109" ht="39.950000000000003" hidden="1" customHeight="1" x14ac:dyDescent="0.25">
      <c r="DC243" s="7">
        <v>241</v>
      </c>
      <c r="DD243" s="20">
        <v>120.5</v>
      </c>
      <c r="DE243" s="52" t="s">
        <v>0</v>
      </c>
    </row>
    <row r="244" spans="1:109" ht="39.950000000000003" hidden="1" customHeight="1" x14ac:dyDescent="0.25">
      <c r="DC244" s="7">
        <v>242</v>
      </c>
      <c r="DD244" s="20">
        <v>121</v>
      </c>
      <c r="DE244" s="52" t="s">
        <v>0</v>
      </c>
    </row>
    <row r="245" spans="1:109" ht="39.950000000000003" hidden="1" customHeight="1" x14ac:dyDescent="0.25">
      <c r="DC245" s="7">
        <v>243</v>
      </c>
      <c r="DD245" s="20">
        <v>121.5</v>
      </c>
      <c r="DE245" s="52" t="s">
        <v>0</v>
      </c>
    </row>
    <row r="246" spans="1:109" ht="39.950000000000003" hidden="1" customHeight="1" x14ac:dyDescent="0.25">
      <c r="DC246" s="7">
        <v>244</v>
      </c>
      <c r="DD246" s="20">
        <v>122</v>
      </c>
      <c r="DE246" s="52" t="s">
        <v>0</v>
      </c>
    </row>
    <row r="247" spans="1:109" ht="39.950000000000003" hidden="1" customHeight="1" x14ac:dyDescent="0.25">
      <c r="DC247" s="7">
        <v>245</v>
      </c>
      <c r="DD247" s="20">
        <v>122.5</v>
      </c>
      <c r="DE247" s="52" t="s">
        <v>0</v>
      </c>
    </row>
    <row r="248" spans="1:109" ht="39.950000000000003" hidden="1" customHeight="1" x14ac:dyDescent="0.25">
      <c r="DC248" s="7">
        <v>246</v>
      </c>
      <c r="DD248" s="20">
        <v>123</v>
      </c>
      <c r="DE248" s="52" t="s">
        <v>0</v>
      </c>
    </row>
    <row r="249" spans="1:109" ht="39.950000000000003" hidden="1" customHeight="1" x14ac:dyDescent="0.25">
      <c r="DC249" s="7">
        <v>247</v>
      </c>
      <c r="DD249" s="20">
        <v>123.5</v>
      </c>
      <c r="DE249" s="52" t="s">
        <v>0</v>
      </c>
    </row>
    <row r="250" spans="1:109" ht="39.950000000000003" hidden="1" customHeight="1" x14ac:dyDescent="0.25">
      <c r="DC250" s="7">
        <v>248</v>
      </c>
      <c r="DD250" s="20">
        <v>124</v>
      </c>
      <c r="DE250" s="52" t="s">
        <v>0</v>
      </c>
    </row>
    <row r="251" spans="1:109" ht="39.950000000000003" hidden="1" customHeight="1" x14ac:dyDescent="0.25">
      <c r="DC251" s="7">
        <v>249</v>
      </c>
      <c r="DD251" s="20">
        <v>124.5</v>
      </c>
      <c r="DE251" s="52" t="s">
        <v>0</v>
      </c>
    </row>
    <row r="252" spans="1:109" ht="39.950000000000003" hidden="1" customHeight="1" x14ac:dyDescent="0.25">
      <c r="DC252" s="7">
        <v>250</v>
      </c>
      <c r="DD252" s="20">
        <v>125</v>
      </c>
      <c r="DE252" s="52" t="s">
        <v>0</v>
      </c>
    </row>
    <row r="253" spans="1:109" ht="39.950000000000003" hidden="1" customHeight="1" x14ac:dyDescent="0.25">
      <c r="DC253" s="7">
        <v>251</v>
      </c>
      <c r="DD253" s="20">
        <v>125.5</v>
      </c>
      <c r="DE253" s="52" t="s">
        <v>0</v>
      </c>
    </row>
    <row r="254" spans="1:109" s="53" customFormat="1" ht="39.950000000000003" hidden="1" customHeight="1" x14ac:dyDescent="0.25">
      <c r="A254" s="14"/>
      <c r="B254" s="14"/>
      <c r="C254" s="14"/>
      <c r="D254" s="14"/>
      <c r="E254" s="14"/>
      <c r="F254" s="14"/>
      <c r="G254" s="14"/>
      <c r="H254" s="14"/>
      <c r="I254" s="14"/>
      <c r="J254" s="14"/>
      <c r="K254" s="14"/>
      <c r="L254" s="14"/>
      <c r="M254" s="14"/>
      <c r="N254" s="14"/>
      <c r="O254" s="14"/>
      <c r="P254" s="50"/>
      <c r="Q254" s="50"/>
      <c r="R254" s="50"/>
      <c r="S254" s="51"/>
      <c r="T254" s="14"/>
      <c r="U254" s="50"/>
      <c r="V254" s="50"/>
      <c r="W254" s="51"/>
      <c r="X254" s="51"/>
      <c r="Y254" s="51"/>
      <c r="Z254" s="51"/>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c r="BY254" s="7"/>
      <c r="BZ254" s="7"/>
      <c r="CA254" s="7"/>
      <c r="CB254" s="7"/>
      <c r="CC254" s="7"/>
      <c r="CD254" s="7"/>
      <c r="CE254" s="7"/>
      <c r="CF254" s="7"/>
      <c r="CG254" s="7"/>
      <c r="CH254" s="7"/>
      <c r="CI254" s="7"/>
      <c r="CJ254" s="7"/>
      <c r="CK254" s="7"/>
      <c r="CL254" s="7"/>
      <c r="CM254" s="7"/>
      <c r="CN254" s="7"/>
      <c r="CO254" s="7"/>
      <c r="CP254" s="7"/>
      <c r="CQ254" s="7"/>
      <c r="CR254" s="7"/>
      <c r="CS254" s="7"/>
      <c r="CT254" s="7"/>
      <c r="CU254" s="7"/>
      <c r="CV254" s="7"/>
      <c r="CW254" s="7"/>
      <c r="CX254" s="7"/>
      <c r="CY254" s="7"/>
      <c r="CZ254" s="7"/>
      <c r="DA254" s="7"/>
      <c r="DB254" s="7"/>
      <c r="DC254" s="7">
        <v>252</v>
      </c>
      <c r="DD254" s="20">
        <v>126</v>
      </c>
      <c r="DE254" s="52" t="s">
        <v>0</v>
      </c>
    </row>
    <row r="255" spans="1:109" s="53" customFormat="1" ht="39.950000000000003" hidden="1" customHeight="1" x14ac:dyDescent="0.25">
      <c r="A255" s="14"/>
      <c r="B255" s="14"/>
      <c r="C255" s="14"/>
      <c r="D255" s="14"/>
      <c r="E255" s="14"/>
      <c r="F255" s="14"/>
      <c r="G255" s="14"/>
      <c r="H255" s="14"/>
      <c r="I255" s="14"/>
      <c r="J255" s="14"/>
      <c r="K255" s="14"/>
      <c r="L255" s="14"/>
      <c r="M255" s="14"/>
      <c r="N255" s="14"/>
      <c r="O255" s="14"/>
      <c r="P255" s="50"/>
      <c r="Q255" s="50"/>
      <c r="R255" s="50"/>
      <c r="S255" s="51"/>
      <c r="T255" s="14"/>
      <c r="U255" s="50"/>
      <c r="V255" s="50"/>
      <c r="W255" s="51"/>
      <c r="X255" s="51"/>
      <c r="Y255" s="51"/>
      <c r="Z255" s="51"/>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c r="CM255" s="7"/>
      <c r="CN255" s="7"/>
      <c r="CO255" s="7"/>
      <c r="CP255" s="7"/>
      <c r="CQ255" s="7"/>
      <c r="CR255" s="7"/>
      <c r="CS255" s="7"/>
      <c r="CT255" s="7"/>
      <c r="CU255" s="7"/>
      <c r="CV255" s="7"/>
      <c r="CW255" s="7"/>
      <c r="CX255" s="7"/>
      <c r="CY255" s="7"/>
      <c r="CZ255" s="7"/>
      <c r="DA255" s="7"/>
      <c r="DB255" s="7"/>
      <c r="DC255" s="7">
        <v>253</v>
      </c>
      <c r="DD255" s="20">
        <v>126.5</v>
      </c>
      <c r="DE255" s="52" t="s">
        <v>0</v>
      </c>
    </row>
    <row r="256" spans="1:109" s="53" customFormat="1" ht="39.950000000000003" hidden="1" customHeight="1" x14ac:dyDescent="0.25">
      <c r="A256" s="14"/>
      <c r="B256" s="14"/>
      <c r="C256" s="14"/>
      <c r="D256" s="14"/>
      <c r="E256" s="14"/>
      <c r="F256" s="14"/>
      <c r="G256" s="14"/>
      <c r="H256" s="14"/>
      <c r="I256" s="14"/>
      <c r="J256" s="14"/>
      <c r="K256" s="14"/>
      <c r="L256" s="14"/>
      <c r="M256" s="14"/>
      <c r="N256" s="14"/>
      <c r="O256" s="14"/>
      <c r="P256" s="50"/>
      <c r="Q256" s="50"/>
      <c r="R256" s="50"/>
      <c r="S256" s="51"/>
      <c r="T256" s="14"/>
      <c r="U256" s="50"/>
      <c r="V256" s="50"/>
      <c r="W256" s="51"/>
      <c r="X256" s="51"/>
      <c r="Y256" s="51"/>
      <c r="Z256" s="51"/>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c r="BY256" s="7"/>
      <c r="BZ256" s="7"/>
      <c r="CA256" s="7"/>
      <c r="CB256" s="7"/>
      <c r="CC256" s="7"/>
      <c r="CD256" s="7"/>
      <c r="CE256" s="7"/>
      <c r="CF256" s="7"/>
      <c r="CG256" s="7"/>
      <c r="CH256" s="7"/>
      <c r="CI256" s="7"/>
      <c r="CJ256" s="7"/>
      <c r="CK256" s="7"/>
      <c r="CL256" s="7"/>
      <c r="CM256" s="7"/>
      <c r="CN256" s="7"/>
      <c r="CO256" s="7"/>
      <c r="CP256" s="7"/>
      <c r="CQ256" s="7"/>
      <c r="CR256" s="7"/>
      <c r="CS256" s="7"/>
      <c r="CT256" s="7"/>
      <c r="CU256" s="7"/>
      <c r="CV256" s="7"/>
      <c r="CW256" s="7"/>
      <c r="CX256" s="7"/>
      <c r="CY256" s="7"/>
      <c r="CZ256" s="7"/>
      <c r="DA256" s="7"/>
      <c r="DB256" s="7"/>
      <c r="DC256" s="7">
        <v>254</v>
      </c>
      <c r="DD256" s="20">
        <v>127</v>
      </c>
      <c r="DE256" s="52" t="s">
        <v>0</v>
      </c>
    </row>
    <row r="257" spans="1:109" s="53" customFormat="1" ht="39.950000000000003" hidden="1" customHeight="1" x14ac:dyDescent="0.25">
      <c r="A257" s="14"/>
      <c r="B257" s="14"/>
      <c r="C257" s="14"/>
      <c r="D257" s="14"/>
      <c r="E257" s="14"/>
      <c r="F257" s="14"/>
      <c r="G257" s="14"/>
      <c r="H257" s="14"/>
      <c r="I257" s="14"/>
      <c r="J257" s="14"/>
      <c r="K257" s="14"/>
      <c r="L257" s="14"/>
      <c r="M257" s="14"/>
      <c r="N257" s="14"/>
      <c r="O257" s="14"/>
      <c r="P257" s="50"/>
      <c r="Q257" s="50"/>
      <c r="R257" s="50"/>
      <c r="S257" s="51"/>
      <c r="T257" s="14"/>
      <c r="U257" s="50"/>
      <c r="V257" s="50"/>
      <c r="W257" s="51"/>
      <c r="X257" s="51"/>
      <c r="Y257" s="51"/>
      <c r="Z257" s="51"/>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c r="CM257" s="7"/>
      <c r="CN257" s="7"/>
      <c r="CO257" s="7"/>
      <c r="CP257" s="7"/>
      <c r="CQ257" s="7"/>
      <c r="CR257" s="7"/>
      <c r="CS257" s="7"/>
      <c r="CT257" s="7"/>
      <c r="CU257" s="7"/>
      <c r="CV257" s="7"/>
      <c r="CW257" s="7"/>
      <c r="CX257" s="7"/>
      <c r="CY257" s="7"/>
      <c r="CZ257" s="7"/>
      <c r="DA257" s="7"/>
      <c r="DB257" s="7"/>
      <c r="DC257" s="7">
        <v>255</v>
      </c>
      <c r="DD257" s="20">
        <v>127.5</v>
      </c>
      <c r="DE257" s="52" t="s">
        <v>0</v>
      </c>
    </row>
    <row r="258" spans="1:109" s="53" customFormat="1" ht="39.950000000000003" hidden="1" customHeight="1" x14ac:dyDescent="0.25">
      <c r="A258" s="14"/>
      <c r="B258" s="14"/>
      <c r="C258" s="14"/>
      <c r="D258" s="14"/>
      <c r="E258" s="14"/>
      <c r="F258" s="14"/>
      <c r="G258" s="14"/>
      <c r="H258" s="14"/>
      <c r="I258" s="14"/>
      <c r="J258" s="14"/>
      <c r="K258" s="14"/>
      <c r="L258" s="14"/>
      <c r="M258" s="14"/>
      <c r="N258" s="14"/>
      <c r="O258" s="14"/>
      <c r="P258" s="50"/>
      <c r="Q258" s="50"/>
      <c r="R258" s="50"/>
      <c r="S258" s="51"/>
      <c r="T258" s="14"/>
      <c r="U258" s="50"/>
      <c r="V258" s="50"/>
      <c r="W258" s="51"/>
      <c r="X258" s="51"/>
      <c r="Y258" s="51"/>
      <c r="Z258" s="51"/>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c r="BY258" s="7"/>
      <c r="BZ258" s="7"/>
      <c r="CA258" s="7"/>
      <c r="CB258" s="7"/>
      <c r="CC258" s="7"/>
      <c r="CD258" s="7"/>
      <c r="CE258" s="7"/>
      <c r="CF258" s="7"/>
      <c r="CG258" s="7"/>
      <c r="CH258" s="7"/>
      <c r="CI258" s="7"/>
      <c r="CJ258" s="7"/>
      <c r="CK258" s="7"/>
      <c r="CL258" s="7"/>
      <c r="CM258" s="7"/>
      <c r="CN258" s="7"/>
      <c r="CO258" s="7"/>
      <c r="CP258" s="7"/>
      <c r="CQ258" s="7"/>
      <c r="CR258" s="7"/>
      <c r="CS258" s="7"/>
      <c r="CT258" s="7"/>
      <c r="CU258" s="7"/>
      <c r="CV258" s="7"/>
      <c r="CW258" s="7"/>
      <c r="CX258" s="7"/>
      <c r="CY258" s="7"/>
      <c r="CZ258" s="7"/>
      <c r="DA258" s="7"/>
      <c r="DB258" s="7"/>
      <c r="DC258" s="7">
        <v>256</v>
      </c>
      <c r="DD258" s="20">
        <v>128</v>
      </c>
      <c r="DE258" s="52" t="s">
        <v>0</v>
      </c>
    </row>
    <row r="259" spans="1:109" s="53" customFormat="1" ht="39.950000000000003" hidden="1" customHeight="1" x14ac:dyDescent="0.25">
      <c r="A259" s="14"/>
      <c r="B259" s="14"/>
      <c r="C259" s="14"/>
      <c r="D259" s="14"/>
      <c r="E259" s="14"/>
      <c r="F259" s="14"/>
      <c r="G259" s="14"/>
      <c r="H259" s="14"/>
      <c r="I259" s="14"/>
      <c r="J259" s="14"/>
      <c r="K259" s="14"/>
      <c r="L259" s="14"/>
      <c r="M259" s="14"/>
      <c r="N259" s="14"/>
      <c r="O259" s="14"/>
      <c r="P259" s="50"/>
      <c r="Q259" s="50"/>
      <c r="R259" s="50"/>
      <c r="S259" s="51"/>
      <c r="T259" s="14"/>
      <c r="U259" s="50"/>
      <c r="V259" s="50"/>
      <c r="W259" s="51"/>
      <c r="X259" s="51"/>
      <c r="Y259" s="51"/>
      <c r="Z259" s="51"/>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c r="BY259" s="7"/>
      <c r="BZ259" s="7"/>
      <c r="CA259" s="7"/>
      <c r="CB259" s="7"/>
      <c r="CC259" s="7"/>
      <c r="CD259" s="7"/>
      <c r="CE259" s="7"/>
      <c r="CF259" s="7"/>
      <c r="CG259" s="7"/>
      <c r="CH259" s="7"/>
      <c r="CI259" s="7"/>
      <c r="CJ259" s="7"/>
      <c r="CK259" s="7"/>
      <c r="CL259" s="7"/>
      <c r="CM259" s="7"/>
      <c r="CN259" s="7"/>
      <c r="CO259" s="7"/>
      <c r="CP259" s="7"/>
      <c r="CQ259" s="7"/>
      <c r="CR259" s="7"/>
      <c r="CS259" s="7"/>
      <c r="CT259" s="7"/>
      <c r="CU259" s="7"/>
      <c r="CV259" s="7"/>
      <c r="CW259" s="7"/>
      <c r="CX259" s="7"/>
      <c r="CY259" s="7"/>
      <c r="CZ259" s="7"/>
      <c r="DA259" s="7"/>
      <c r="DB259" s="7"/>
      <c r="DC259" s="7">
        <v>257</v>
      </c>
      <c r="DD259" s="20">
        <v>128.5</v>
      </c>
      <c r="DE259" s="52" t="s">
        <v>0</v>
      </c>
    </row>
    <row r="260" spans="1:109" s="53" customFormat="1" ht="39.950000000000003" hidden="1" customHeight="1" x14ac:dyDescent="0.25">
      <c r="A260" s="14"/>
      <c r="B260" s="14"/>
      <c r="C260" s="14"/>
      <c r="D260" s="14"/>
      <c r="E260" s="14"/>
      <c r="F260" s="14"/>
      <c r="G260" s="14"/>
      <c r="H260" s="14"/>
      <c r="I260" s="14"/>
      <c r="J260" s="14"/>
      <c r="K260" s="14"/>
      <c r="L260" s="14"/>
      <c r="M260" s="14"/>
      <c r="N260" s="14"/>
      <c r="O260" s="14"/>
      <c r="P260" s="50"/>
      <c r="Q260" s="50"/>
      <c r="R260" s="50"/>
      <c r="S260" s="51"/>
      <c r="T260" s="14"/>
      <c r="U260" s="50"/>
      <c r="V260" s="50"/>
      <c r="W260" s="51"/>
      <c r="X260" s="51"/>
      <c r="Y260" s="51"/>
      <c r="Z260" s="51"/>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v>258</v>
      </c>
      <c r="DD260" s="20">
        <v>129</v>
      </c>
      <c r="DE260" s="52" t="s">
        <v>0</v>
      </c>
    </row>
    <row r="261" spans="1:109" s="53" customFormat="1" ht="39.950000000000003" hidden="1" customHeight="1" x14ac:dyDescent="0.25">
      <c r="A261" s="14"/>
      <c r="B261" s="14"/>
      <c r="C261" s="14"/>
      <c r="D261" s="14"/>
      <c r="E261" s="14"/>
      <c r="F261" s="14"/>
      <c r="G261" s="14"/>
      <c r="H261" s="14"/>
      <c r="I261" s="14"/>
      <c r="J261" s="14"/>
      <c r="K261" s="14"/>
      <c r="L261" s="14"/>
      <c r="M261" s="14"/>
      <c r="N261" s="14"/>
      <c r="O261" s="14"/>
      <c r="P261" s="50"/>
      <c r="Q261" s="50"/>
      <c r="R261" s="50"/>
      <c r="S261" s="51"/>
      <c r="T261" s="14"/>
      <c r="U261" s="50"/>
      <c r="V261" s="50"/>
      <c r="W261" s="51"/>
      <c r="X261" s="51"/>
      <c r="Y261" s="51"/>
      <c r="Z261" s="51"/>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c r="CE261" s="7"/>
      <c r="CF261" s="7"/>
      <c r="CG261" s="7"/>
      <c r="CH261" s="7"/>
      <c r="CI261" s="7"/>
      <c r="CJ261" s="7"/>
      <c r="CK261" s="7"/>
      <c r="CL261" s="7"/>
      <c r="CM261" s="7"/>
      <c r="CN261" s="7"/>
      <c r="CO261" s="7"/>
      <c r="CP261" s="7"/>
      <c r="CQ261" s="7"/>
      <c r="CR261" s="7"/>
      <c r="CS261" s="7"/>
      <c r="CT261" s="7"/>
      <c r="CU261" s="7"/>
      <c r="CV261" s="7"/>
      <c r="CW261" s="7"/>
      <c r="CX261" s="7"/>
      <c r="CY261" s="7"/>
      <c r="CZ261" s="7"/>
      <c r="DA261" s="7"/>
      <c r="DB261" s="7"/>
      <c r="DC261" s="7">
        <v>259</v>
      </c>
      <c r="DD261" s="20">
        <v>129.5</v>
      </c>
      <c r="DE261" s="52" t="s">
        <v>0</v>
      </c>
    </row>
    <row r="262" spans="1:109" s="53" customFormat="1" ht="39.950000000000003" hidden="1" customHeight="1" x14ac:dyDescent="0.25">
      <c r="A262" s="14"/>
      <c r="B262" s="14"/>
      <c r="C262" s="14"/>
      <c r="D262" s="14"/>
      <c r="E262" s="14"/>
      <c r="F262" s="14"/>
      <c r="G262" s="14"/>
      <c r="H262" s="14"/>
      <c r="I262" s="14"/>
      <c r="J262" s="14"/>
      <c r="K262" s="14"/>
      <c r="L262" s="14"/>
      <c r="M262" s="14"/>
      <c r="N262" s="14"/>
      <c r="O262" s="14"/>
      <c r="P262" s="50"/>
      <c r="Q262" s="50"/>
      <c r="R262" s="50"/>
      <c r="S262" s="51"/>
      <c r="T262" s="14"/>
      <c r="U262" s="50"/>
      <c r="V262" s="50"/>
      <c r="W262" s="51"/>
      <c r="X262" s="51"/>
      <c r="Y262" s="51"/>
      <c r="Z262" s="51"/>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v>260</v>
      </c>
      <c r="DD262" s="20">
        <v>130</v>
      </c>
      <c r="DE262" s="52" t="s">
        <v>0</v>
      </c>
    </row>
    <row r="263" spans="1:109" s="53" customFormat="1" ht="39.950000000000003" hidden="1" customHeight="1" x14ac:dyDescent="0.25">
      <c r="A263" s="14"/>
      <c r="B263" s="14"/>
      <c r="C263" s="14"/>
      <c r="D263" s="14"/>
      <c r="E263" s="14"/>
      <c r="F263" s="14"/>
      <c r="G263" s="14"/>
      <c r="H263" s="14"/>
      <c r="I263" s="14"/>
      <c r="J263" s="14"/>
      <c r="K263" s="14"/>
      <c r="L263" s="14"/>
      <c r="M263" s="14"/>
      <c r="N263" s="14"/>
      <c r="O263" s="14"/>
      <c r="P263" s="50"/>
      <c r="Q263" s="50"/>
      <c r="R263" s="50"/>
      <c r="S263" s="51"/>
      <c r="T263" s="14"/>
      <c r="U263" s="50"/>
      <c r="V263" s="50"/>
      <c r="W263" s="51"/>
      <c r="X263" s="51"/>
      <c r="Y263" s="51"/>
      <c r="Z263" s="51"/>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v>261</v>
      </c>
      <c r="DD263" s="20">
        <v>130.5</v>
      </c>
      <c r="DE263" s="52" t="s">
        <v>0</v>
      </c>
    </row>
    <row r="264" spans="1:109" s="53" customFormat="1" ht="39.950000000000003" hidden="1" customHeight="1" x14ac:dyDescent="0.25">
      <c r="A264" s="14"/>
      <c r="B264" s="14"/>
      <c r="C264" s="14"/>
      <c r="D264" s="14"/>
      <c r="E264" s="14"/>
      <c r="F264" s="14"/>
      <c r="G264" s="14"/>
      <c r="H264" s="14"/>
      <c r="I264" s="14"/>
      <c r="J264" s="14"/>
      <c r="K264" s="14"/>
      <c r="L264" s="14"/>
      <c r="M264" s="14"/>
      <c r="N264" s="14"/>
      <c r="O264" s="14"/>
      <c r="P264" s="50"/>
      <c r="Q264" s="50"/>
      <c r="R264" s="50"/>
      <c r="S264" s="51"/>
      <c r="T264" s="14"/>
      <c r="U264" s="50"/>
      <c r="V264" s="50"/>
      <c r="W264" s="51"/>
      <c r="X264" s="51"/>
      <c r="Y264" s="51"/>
      <c r="Z264" s="51"/>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c r="CE264" s="7"/>
      <c r="CF264" s="7"/>
      <c r="CG264" s="7"/>
      <c r="CH264" s="7"/>
      <c r="CI264" s="7"/>
      <c r="CJ264" s="7"/>
      <c r="CK264" s="7"/>
      <c r="CL264" s="7"/>
      <c r="CM264" s="7"/>
      <c r="CN264" s="7"/>
      <c r="CO264" s="7"/>
      <c r="CP264" s="7"/>
      <c r="CQ264" s="7"/>
      <c r="CR264" s="7"/>
      <c r="CS264" s="7"/>
      <c r="CT264" s="7"/>
      <c r="CU264" s="7"/>
      <c r="CV264" s="7"/>
      <c r="CW264" s="7"/>
      <c r="CX264" s="7"/>
      <c r="CY264" s="7"/>
      <c r="CZ264" s="7"/>
      <c r="DA264" s="7"/>
      <c r="DB264" s="7"/>
      <c r="DC264" s="7">
        <v>262</v>
      </c>
      <c r="DD264" s="20">
        <v>131</v>
      </c>
      <c r="DE264" s="52" t="s">
        <v>0</v>
      </c>
    </row>
    <row r="265" spans="1:109" s="53" customFormat="1" ht="39.950000000000003" hidden="1" customHeight="1" x14ac:dyDescent="0.25">
      <c r="A265" s="14"/>
      <c r="B265" s="14"/>
      <c r="C265" s="14"/>
      <c r="D265" s="14"/>
      <c r="E265" s="14"/>
      <c r="F265" s="14"/>
      <c r="G265" s="14"/>
      <c r="H265" s="14"/>
      <c r="I265" s="14"/>
      <c r="J265" s="14"/>
      <c r="K265" s="14"/>
      <c r="L265" s="14"/>
      <c r="M265" s="14"/>
      <c r="N265" s="14"/>
      <c r="O265" s="14"/>
      <c r="P265" s="50"/>
      <c r="Q265" s="50"/>
      <c r="R265" s="50"/>
      <c r="S265" s="51"/>
      <c r="T265" s="14"/>
      <c r="U265" s="50"/>
      <c r="V265" s="50"/>
      <c r="W265" s="51"/>
      <c r="X265" s="51"/>
      <c r="Y265" s="51"/>
      <c r="Z265" s="51"/>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c r="CM265" s="7"/>
      <c r="CN265" s="7"/>
      <c r="CO265" s="7"/>
      <c r="CP265" s="7"/>
      <c r="CQ265" s="7"/>
      <c r="CR265" s="7"/>
      <c r="CS265" s="7"/>
      <c r="CT265" s="7"/>
      <c r="CU265" s="7"/>
      <c r="CV265" s="7"/>
      <c r="CW265" s="7"/>
      <c r="CX265" s="7"/>
      <c r="CY265" s="7"/>
      <c r="CZ265" s="7"/>
      <c r="DA265" s="7"/>
      <c r="DB265" s="7"/>
      <c r="DC265" s="7">
        <v>263</v>
      </c>
      <c r="DD265" s="20">
        <v>131.5</v>
      </c>
      <c r="DE265" s="52" t="s">
        <v>0</v>
      </c>
    </row>
    <row r="266" spans="1:109" s="53" customFormat="1" ht="39.950000000000003" hidden="1" customHeight="1" x14ac:dyDescent="0.25">
      <c r="A266" s="14"/>
      <c r="B266" s="14"/>
      <c r="C266" s="14"/>
      <c r="D266" s="14"/>
      <c r="E266" s="14"/>
      <c r="F266" s="14"/>
      <c r="G266" s="14"/>
      <c r="H266" s="14"/>
      <c r="I266" s="14"/>
      <c r="J266" s="14"/>
      <c r="K266" s="14"/>
      <c r="L266" s="14"/>
      <c r="M266" s="14"/>
      <c r="N266" s="14"/>
      <c r="O266" s="14"/>
      <c r="P266" s="50"/>
      <c r="Q266" s="50"/>
      <c r="R266" s="50"/>
      <c r="S266" s="51"/>
      <c r="T266" s="14"/>
      <c r="U266" s="50"/>
      <c r="V266" s="50"/>
      <c r="W266" s="51"/>
      <c r="X266" s="51"/>
      <c r="Y266" s="51"/>
      <c r="Z266" s="51"/>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c r="BV266" s="7"/>
      <c r="BW266" s="7"/>
      <c r="BX266" s="7"/>
      <c r="BY266" s="7"/>
      <c r="BZ266" s="7"/>
      <c r="CA266" s="7"/>
      <c r="CB266" s="7"/>
      <c r="CC266" s="7"/>
      <c r="CD266" s="7"/>
      <c r="CE266" s="7"/>
      <c r="CF266" s="7"/>
      <c r="CG266" s="7"/>
      <c r="CH266" s="7"/>
      <c r="CI266" s="7"/>
      <c r="CJ266" s="7"/>
      <c r="CK266" s="7"/>
      <c r="CL266" s="7"/>
      <c r="CM266" s="7"/>
      <c r="CN266" s="7"/>
      <c r="CO266" s="7"/>
      <c r="CP266" s="7"/>
      <c r="CQ266" s="7"/>
      <c r="CR266" s="7"/>
      <c r="CS266" s="7"/>
      <c r="CT266" s="7"/>
      <c r="CU266" s="7"/>
      <c r="CV266" s="7"/>
      <c r="CW266" s="7"/>
      <c r="CX266" s="7"/>
      <c r="CY266" s="7"/>
      <c r="CZ266" s="7"/>
      <c r="DA266" s="7"/>
      <c r="DB266" s="7"/>
      <c r="DC266" s="7">
        <v>264</v>
      </c>
      <c r="DD266" s="20">
        <v>132</v>
      </c>
      <c r="DE266" s="52" t="s">
        <v>0</v>
      </c>
    </row>
    <row r="267" spans="1:109" s="53" customFormat="1" ht="39.950000000000003" hidden="1" customHeight="1" x14ac:dyDescent="0.25">
      <c r="A267" s="14"/>
      <c r="B267" s="14"/>
      <c r="C267" s="14"/>
      <c r="D267" s="14"/>
      <c r="E267" s="14"/>
      <c r="F267" s="14"/>
      <c r="G267" s="14"/>
      <c r="H267" s="14"/>
      <c r="I267" s="14"/>
      <c r="J267" s="14"/>
      <c r="K267" s="14"/>
      <c r="L267" s="14"/>
      <c r="M267" s="14"/>
      <c r="N267" s="14"/>
      <c r="O267" s="14"/>
      <c r="P267" s="50"/>
      <c r="Q267" s="50"/>
      <c r="R267" s="50"/>
      <c r="S267" s="51"/>
      <c r="T267" s="14"/>
      <c r="U267" s="50"/>
      <c r="V267" s="50"/>
      <c r="W267" s="51"/>
      <c r="X267" s="51"/>
      <c r="Y267" s="51"/>
      <c r="Z267" s="51"/>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c r="BV267" s="7"/>
      <c r="BW267" s="7"/>
      <c r="BX267" s="7"/>
      <c r="BY267" s="7"/>
      <c r="BZ267" s="7"/>
      <c r="CA267" s="7"/>
      <c r="CB267" s="7"/>
      <c r="CC267" s="7"/>
      <c r="CD267" s="7"/>
      <c r="CE267" s="7"/>
      <c r="CF267" s="7"/>
      <c r="CG267" s="7"/>
      <c r="CH267" s="7"/>
      <c r="CI267" s="7"/>
      <c r="CJ267" s="7"/>
      <c r="CK267" s="7"/>
      <c r="CL267" s="7"/>
      <c r="CM267" s="7"/>
      <c r="CN267" s="7"/>
      <c r="CO267" s="7"/>
      <c r="CP267" s="7"/>
      <c r="CQ267" s="7"/>
      <c r="CR267" s="7"/>
      <c r="CS267" s="7"/>
      <c r="CT267" s="7"/>
      <c r="CU267" s="7"/>
      <c r="CV267" s="7"/>
      <c r="CW267" s="7"/>
      <c r="CX267" s="7"/>
      <c r="CY267" s="7"/>
      <c r="CZ267" s="7"/>
      <c r="DA267" s="7"/>
      <c r="DB267" s="7"/>
      <c r="DC267" s="7">
        <v>265</v>
      </c>
      <c r="DD267" s="20">
        <v>132.5</v>
      </c>
      <c r="DE267" s="52" t="s">
        <v>0</v>
      </c>
    </row>
    <row r="268" spans="1:109" s="53" customFormat="1" ht="39.950000000000003" hidden="1" customHeight="1" x14ac:dyDescent="0.25">
      <c r="A268" s="14"/>
      <c r="B268" s="14"/>
      <c r="C268" s="14"/>
      <c r="D268" s="14"/>
      <c r="E268" s="14"/>
      <c r="F268" s="14"/>
      <c r="G268" s="14"/>
      <c r="H268" s="14"/>
      <c r="I268" s="14"/>
      <c r="J268" s="14"/>
      <c r="K268" s="14"/>
      <c r="L268" s="14"/>
      <c r="M268" s="14"/>
      <c r="N268" s="14"/>
      <c r="O268" s="14"/>
      <c r="P268" s="50"/>
      <c r="Q268" s="50"/>
      <c r="R268" s="50"/>
      <c r="S268" s="51"/>
      <c r="T268" s="14"/>
      <c r="U268" s="50"/>
      <c r="V268" s="50"/>
      <c r="W268" s="51"/>
      <c r="X268" s="51"/>
      <c r="Y268" s="51"/>
      <c r="Z268" s="51"/>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c r="BV268" s="7"/>
      <c r="BW268" s="7"/>
      <c r="BX268" s="7"/>
      <c r="BY268" s="7"/>
      <c r="BZ268" s="7"/>
      <c r="CA268" s="7"/>
      <c r="CB268" s="7"/>
      <c r="CC268" s="7"/>
      <c r="CD268" s="7"/>
      <c r="CE268" s="7"/>
      <c r="CF268" s="7"/>
      <c r="CG268" s="7"/>
      <c r="CH268" s="7"/>
      <c r="CI268" s="7"/>
      <c r="CJ268" s="7"/>
      <c r="CK268" s="7"/>
      <c r="CL268" s="7"/>
      <c r="CM268" s="7"/>
      <c r="CN268" s="7"/>
      <c r="CO268" s="7"/>
      <c r="CP268" s="7"/>
      <c r="CQ268" s="7"/>
      <c r="CR268" s="7"/>
      <c r="CS268" s="7"/>
      <c r="CT268" s="7"/>
      <c r="CU268" s="7"/>
      <c r="CV268" s="7"/>
      <c r="CW268" s="7"/>
      <c r="CX268" s="7"/>
      <c r="CY268" s="7"/>
      <c r="CZ268" s="7"/>
      <c r="DA268" s="7"/>
      <c r="DB268" s="7"/>
      <c r="DC268" s="7">
        <v>266</v>
      </c>
      <c r="DD268" s="20">
        <v>133</v>
      </c>
      <c r="DE268" s="52" t="s">
        <v>0</v>
      </c>
    </row>
    <row r="269" spans="1:109" s="53" customFormat="1" ht="39.950000000000003" hidden="1" customHeight="1" x14ac:dyDescent="0.25">
      <c r="A269" s="14"/>
      <c r="B269" s="14"/>
      <c r="C269" s="14"/>
      <c r="D269" s="14"/>
      <c r="E269" s="14"/>
      <c r="F269" s="14"/>
      <c r="G269" s="14"/>
      <c r="H269" s="14"/>
      <c r="I269" s="14"/>
      <c r="J269" s="14"/>
      <c r="K269" s="14"/>
      <c r="L269" s="14"/>
      <c r="M269" s="14"/>
      <c r="N269" s="14"/>
      <c r="O269" s="14"/>
      <c r="P269" s="50"/>
      <c r="Q269" s="50"/>
      <c r="R269" s="50"/>
      <c r="S269" s="51"/>
      <c r="T269" s="14"/>
      <c r="U269" s="50"/>
      <c r="V269" s="50"/>
      <c r="W269" s="51"/>
      <c r="X269" s="51"/>
      <c r="Y269" s="51"/>
      <c r="Z269" s="51"/>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c r="BV269" s="7"/>
      <c r="BW269" s="7"/>
      <c r="BX269" s="7"/>
      <c r="BY269" s="7"/>
      <c r="BZ269" s="7"/>
      <c r="CA269" s="7"/>
      <c r="CB269" s="7"/>
      <c r="CC269" s="7"/>
      <c r="CD269" s="7"/>
      <c r="CE269" s="7"/>
      <c r="CF269" s="7"/>
      <c r="CG269" s="7"/>
      <c r="CH269" s="7"/>
      <c r="CI269" s="7"/>
      <c r="CJ269" s="7"/>
      <c r="CK269" s="7"/>
      <c r="CL269" s="7"/>
      <c r="CM269" s="7"/>
      <c r="CN269" s="7"/>
      <c r="CO269" s="7"/>
      <c r="CP269" s="7"/>
      <c r="CQ269" s="7"/>
      <c r="CR269" s="7"/>
      <c r="CS269" s="7"/>
      <c r="CT269" s="7"/>
      <c r="CU269" s="7"/>
      <c r="CV269" s="7"/>
      <c r="CW269" s="7"/>
      <c r="CX269" s="7"/>
      <c r="CY269" s="7"/>
      <c r="CZ269" s="7"/>
      <c r="DA269" s="7"/>
      <c r="DB269" s="7"/>
      <c r="DC269" s="7">
        <v>267</v>
      </c>
      <c r="DD269" s="20">
        <v>133.5</v>
      </c>
      <c r="DE269" s="52" t="s">
        <v>0</v>
      </c>
    </row>
    <row r="270" spans="1:109" ht="39.950000000000003" hidden="1" customHeight="1" x14ac:dyDescent="0.25">
      <c r="DC270" s="7">
        <v>268</v>
      </c>
      <c r="DD270" s="20">
        <v>134</v>
      </c>
      <c r="DE270" s="52" t="s">
        <v>0</v>
      </c>
    </row>
    <row r="271" spans="1:109" ht="39.950000000000003" hidden="1" customHeight="1" x14ac:dyDescent="0.25">
      <c r="DC271" s="7">
        <v>269</v>
      </c>
      <c r="DD271" s="20">
        <v>134.5</v>
      </c>
      <c r="DE271" s="52" t="s">
        <v>0</v>
      </c>
    </row>
    <row r="272" spans="1:109" ht="39.950000000000003" hidden="1" customHeight="1" x14ac:dyDescent="0.25">
      <c r="DC272" s="7">
        <v>270</v>
      </c>
      <c r="DD272" s="20">
        <v>135</v>
      </c>
      <c r="DE272" s="52" t="s">
        <v>0</v>
      </c>
    </row>
    <row r="273" spans="107:109" ht="39.950000000000003" hidden="1" customHeight="1" x14ac:dyDescent="0.25">
      <c r="DC273" s="7">
        <v>271</v>
      </c>
      <c r="DD273" s="20">
        <v>135.5</v>
      </c>
      <c r="DE273" s="52" t="s">
        <v>0</v>
      </c>
    </row>
    <row r="274" spans="107:109" ht="39.950000000000003" hidden="1" customHeight="1" x14ac:dyDescent="0.25">
      <c r="DC274" s="7">
        <v>272</v>
      </c>
      <c r="DD274" s="20">
        <v>136</v>
      </c>
      <c r="DE274" s="52" t="s">
        <v>0</v>
      </c>
    </row>
    <row r="275" spans="107:109" ht="39.950000000000003" hidden="1" customHeight="1" x14ac:dyDescent="0.25">
      <c r="DC275" s="7">
        <v>273</v>
      </c>
      <c r="DD275" s="20">
        <v>136.5</v>
      </c>
      <c r="DE275" s="52" t="s">
        <v>0</v>
      </c>
    </row>
    <row r="276" spans="107:109" ht="39.950000000000003" hidden="1" customHeight="1" x14ac:dyDescent="0.25">
      <c r="DC276" s="7">
        <v>274</v>
      </c>
      <c r="DD276" s="20">
        <v>137</v>
      </c>
      <c r="DE276" s="52" t="s">
        <v>0</v>
      </c>
    </row>
    <row r="277" spans="107:109" ht="39.950000000000003" hidden="1" customHeight="1" x14ac:dyDescent="0.25">
      <c r="DC277" s="7">
        <v>275</v>
      </c>
      <c r="DD277" s="20">
        <v>137.5</v>
      </c>
      <c r="DE277" s="52" t="s">
        <v>0</v>
      </c>
    </row>
    <row r="278" spans="107:109" ht="39.950000000000003" hidden="1" customHeight="1" x14ac:dyDescent="0.25">
      <c r="DC278" s="7">
        <v>276</v>
      </c>
      <c r="DD278" s="20">
        <v>138</v>
      </c>
      <c r="DE278" s="52" t="s">
        <v>0</v>
      </c>
    </row>
    <row r="279" spans="107:109" ht="39.950000000000003" hidden="1" customHeight="1" x14ac:dyDescent="0.25">
      <c r="DC279" s="7">
        <v>277</v>
      </c>
      <c r="DD279" s="20">
        <v>138.5</v>
      </c>
      <c r="DE279" s="52" t="s">
        <v>0</v>
      </c>
    </row>
    <row r="280" spans="107:109" ht="39.950000000000003" hidden="1" customHeight="1" x14ac:dyDescent="0.25">
      <c r="DC280" s="7">
        <v>278</v>
      </c>
      <c r="DD280" s="20">
        <v>139</v>
      </c>
      <c r="DE280" s="52" t="s">
        <v>0</v>
      </c>
    </row>
    <row r="281" spans="107:109" ht="39.950000000000003" hidden="1" customHeight="1" x14ac:dyDescent="0.25">
      <c r="DC281" s="7">
        <v>279</v>
      </c>
      <c r="DD281" s="20">
        <v>139.5</v>
      </c>
      <c r="DE281" s="52" t="s">
        <v>0</v>
      </c>
    </row>
    <row r="282" spans="107:109" ht="39.950000000000003" hidden="1" customHeight="1" x14ac:dyDescent="0.25">
      <c r="DC282" s="7">
        <v>280</v>
      </c>
      <c r="DD282" s="20">
        <v>140</v>
      </c>
      <c r="DE282" s="52" t="s">
        <v>0</v>
      </c>
    </row>
    <row r="283" spans="107:109" ht="39.950000000000003" hidden="1" customHeight="1" x14ac:dyDescent="0.25">
      <c r="DC283" s="7">
        <v>281</v>
      </c>
      <c r="DD283" s="20">
        <v>140.5</v>
      </c>
      <c r="DE283" s="52" t="s">
        <v>0</v>
      </c>
    </row>
    <row r="284" spans="107:109" ht="39.950000000000003" hidden="1" customHeight="1" x14ac:dyDescent="0.25">
      <c r="DC284" s="7">
        <v>282</v>
      </c>
      <c r="DD284" s="20">
        <v>141</v>
      </c>
      <c r="DE284" s="52" t="s">
        <v>0</v>
      </c>
    </row>
    <row r="285" spans="107:109" ht="39.950000000000003" hidden="1" customHeight="1" x14ac:dyDescent="0.25">
      <c r="DC285" s="7">
        <v>283</v>
      </c>
      <c r="DD285" s="20">
        <v>141.5</v>
      </c>
      <c r="DE285" s="52" t="s">
        <v>0</v>
      </c>
    </row>
    <row r="286" spans="107:109" ht="39.950000000000003" hidden="1" customHeight="1" x14ac:dyDescent="0.25">
      <c r="DC286" s="7">
        <v>284</v>
      </c>
      <c r="DD286" s="20">
        <v>142</v>
      </c>
      <c r="DE286" s="52" t="s">
        <v>0</v>
      </c>
    </row>
    <row r="287" spans="107:109" ht="39.950000000000003" hidden="1" customHeight="1" x14ac:dyDescent="0.25">
      <c r="DC287" s="7">
        <v>285</v>
      </c>
      <c r="DD287" s="20">
        <v>142.5</v>
      </c>
      <c r="DE287" s="52" t="s">
        <v>0</v>
      </c>
    </row>
    <row r="288" spans="107:109" ht="39.950000000000003" hidden="1" customHeight="1" x14ac:dyDescent="0.25">
      <c r="DC288" s="7">
        <v>286</v>
      </c>
      <c r="DD288" s="20">
        <v>143</v>
      </c>
      <c r="DE288" s="52" t="s">
        <v>0</v>
      </c>
    </row>
    <row r="289" spans="107:109" ht="39.950000000000003" hidden="1" customHeight="1" x14ac:dyDescent="0.25">
      <c r="DC289" s="7">
        <v>287</v>
      </c>
      <c r="DD289" s="20">
        <v>143.5</v>
      </c>
      <c r="DE289" s="52" t="s">
        <v>0</v>
      </c>
    </row>
    <row r="290" spans="107:109" ht="39.950000000000003" hidden="1" customHeight="1" x14ac:dyDescent="0.25">
      <c r="DC290" s="7">
        <v>288</v>
      </c>
      <c r="DD290" s="20">
        <v>144</v>
      </c>
      <c r="DE290" s="52" t="s">
        <v>0</v>
      </c>
    </row>
    <row r="291" spans="107:109" ht="39.950000000000003" hidden="1" customHeight="1" x14ac:dyDescent="0.25">
      <c r="DC291" s="7">
        <v>289</v>
      </c>
      <c r="DD291" s="20">
        <v>144.5</v>
      </c>
      <c r="DE291" s="52" t="s">
        <v>0</v>
      </c>
    </row>
    <row r="292" spans="107:109" ht="39.950000000000003" hidden="1" customHeight="1" x14ac:dyDescent="0.25">
      <c r="DC292" s="7">
        <v>290</v>
      </c>
      <c r="DD292" s="20">
        <v>145</v>
      </c>
      <c r="DE292" s="52" t="s">
        <v>0</v>
      </c>
    </row>
    <row r="293" spans="107:109" ht="39.950000000000003" hidden="1" customHeight="1" x14ac:dyDescent="0.25">
      <c r="DC293" s="7">
        <v>291</v>
      </c>
      <c r="DD293" s="20">
        <v>145.5</v>
      </c>
      <c r="DE293" s="52" t="s">
        <v>0</v>
      </c>
    </row>
    <row r="294" spans="107:109" ht="39.950000000000003" hidden="1" customHeight="1" x14ac:dyDescent="0.25">
      <c r="DC294" s="7">
        <v>292</v>
      </c>
      <c r="DD294" s="20">
        <v>146</v>
      </c>
      <c r="DE294" s="52" t="s">
        <v>0</v>
      </c>
    </row>
    <row r="295" spans="107:109" ht="39.950000000000003" hidden="1" customHeight="1" x14ac:dyDescent="0.25">
      <c r="DC295" s="7">
        <v>293</v>
      </c>
      <c r="DD295" s="20">
        <v>146.5</v>
      </c>
      <c r="DE295" s="52" t="s">
        <v>0</v>
      </c>
    </row>
    <row r="296" spans="107:109" ht="39.950000000000003" hidden="1" customHeight="1" x14ac:dyDescent="0.25">
      <c r="DC296" s="7">
        <v>294</v>
      </c>
      <c r="DD296" s="20">
        <v>147</v>
      </c>
      <c r="DE296" s="52" t="s">
        <v>0</v>
      </c>
    </row>
    <row r="297" spans="107:109" ht="39.950000000000003" hidden="1" customHeight="1" x14ac:dyDescent="0.25">
      <c r="DC297" s="7">
        <v>295</v>
      </c>
      <c r="DD297" s="20">
        <v>147.5</v>
      </c>
      <c r="DE297" s="52" t="s">
        <v>0</v>
      </c>
    </row>
    <row r="298" spans="107:109" ht="39.950000000000003" hidden="1" customHeight="1" x14ac:dyDescent="0.25">
      <c r="DC298" s="7">
        <v>296</v>
      </c>
      <c r="DD298" s="20">
        <v>148</v>
      </c>
      <c r="DE298" s="52" t="s">
        <v>0</v>
      </c>
    </row>
    <row r="299" spans="107:109" ht="39.950000000000003" hidden="1" customHeight="1" x14ac:dyDescent="0.25">
      <c r="DC299" s="7">
        <v>297</v>
      </c>
      <c r="DD299" s="20">
        <v>148.5</v>
      </c>
      <c r="DE299" s="52" t="s">
        <v>0</v>
      </c>
    </row>
    <row r="300" spans="107:109" ht="39.950000000000003" hidden="1" customHeight="1" x14ac:dyDescent="0.25">
      <c r="DC300" s="7">
        <v>298</v>
      </c>
      <c r="DD300" s="20">
        <v>149</v>
      </c>
      <c r="DE300" s="52" t="s">
        <v>0</v>
      </c>
    </row>
    <row r="301" spans="107:109" ht="39.950000000000003" hidden="1" customHeight="1" x14ac:dyDescent="0.25">
      <c r="DC301" s="7">
        <v>299</v>
      </c>
      <c r="DD301" s="20">
        <v>149.5</v>
      </c>
      <c r="DE301" s="52" t="s">
        <v>0</v>
      </c>
    </row>
    <row r="302" spans="107:109" ht="39.950000000000003" hidden="1" customHeight="1" x14ac:dyDescent="0.25">
      <c r="DC302" s="7">
        <v>300</v>
      </c>
      <c r="DD302" s="20">
        <v>150</v>
      </c>
      <c r="DE302" s="52" t="s">
        <v>0</v>
      </c>
    </row>
    <row r="303" spans="107:109" ht="39.950000000000003" hidden="1" customHeight="1" x14ac:dyDescent="0.25">
      <c r="DC303" s="7">
        <v>301</v>
      </c>
      <c r="DD303" s="20">
        <v>150.5</v>
      </c>
      <c r="DE303" s="52" t="s">
        <v>0</v>
      </c>
    </row>
    <row r="304" spans="107:109" ht="39.950000000000003" hidden="1" customHeight="1" x14ac:dyDescent="0.25">
      <c r="DC304" s="7">
        <v>302</v>
      </c>
      <c r="DD304" s="20">
        <v>151</v>
      </c>
      <c r="DE304" s="52" t="s">
        <v>0</v>
      </c>
    </row>
    <row r="305" spans="107:109" ht="39.950000000000003" hidden="1" customHeight="1" x14ac:dyDescent="0.25">
      <c r="DC305" s="7">
        <v>303</v>
      </c>
      <c r="DD305" s="20">
        <v>151.5</v>
      </c>
      <c r="DE305" s="52" t="s">
        <v>0</v>
      </c>
    </row>
    <row r="306" spans="107:109" ht="39.950000000000003" hidden="1" customHeight="1" x14ac:dyDescent="0.25">
      <c r="DC306" s="7">
        <v>304</v>
      </c>
      <c r="DD306" s="20">
        <v>152</v>
      </c>
      <c r="DE306" s="52" t="s">
        <v>0</v>
      </c>
    </row>
    <row r="307" spans="107:109" ht="39.950000000000003" hidden="1" customHeight="1" x14ac:dyDescent="0.25">
      <c r="DC307" s="7">
        <v>305</v>
      </c>
      <c r="DD307" s="20">
        <v>152.5</v>
      </c>
      <c r="DE307" s="52" t="s">
        <v>0</v>
      </c>
    </row>
    <row r="308" spans="107:109" ht="39.950000000000003" hidden="1" customHeight="1" x14ac:dyDescent="0.25">
      <c r="DC308" s="7">
        <v>306</v>
      </c>
      <c r="DD308" s="20">
        <v>153</v>
      </c>
      <c r="DE308" s="52" t="s">
        <v>0</v>
      </c>
    </row>
    <row r="309" spans="107:109" ht="39.950000000000003" hidden="1" customHeight="1" x14ac:dyDescent="0.25">
      <c r="DC309" s="7">
        <v>307</v>
      </c>
      <c r="DD309" s="20">
        <v>153.5</v>
      </c>
      <c r="DE309" s="52" t="s">
        <v>0</v>
      </c>
    </row>
    <row r="310" spans="107:109" ht="39.950000000000003" hidden="1" customHeight="1" x14ac:dyDescent="0.25">
      <c r="DC310" s="7">
        <v>308</v>
      </c>
      <c r="DD310" s="20">
        <v>154</v>
      </c>
      <c r="DE310" s="52" t="s">
        <v>0</v>
      </c>
    </row>
    <row r="311" spans="107:109" ht="39.950000000000003" hidden="1" customHeight="1" x14ac:dyDescent="0.25">
      <c r="DC311" s="7">
        <v>309</v>
      </c>
      <c r="DD311" s="20">
        <v>154.5</v>
      </c>
      <c r="DE311" s="52" t="s">
        <v>0</v>
      </c>
    </row>
    <row r="312" spans="107:109" ht="39.950000000000003" hidden="1" customHeight="1" x14ac:dyDescent="0.25">
      <c r="DC312" s="7">
        <v>310</v>
      </c>
      <c r="DD312" s="20">
        <v>155</v>
      </c>
      <c r="DE312" s="52" t="s">
        <v>0</v>
      </c>
    </row>
    <row r="313" spans="107:109" ht="39.950000000000003" hidden="1" customHeight="1" x14ac:dyDescent="0.25">
      <c r="DC313" s="7">
        <v>311</v>
      </c>
      <c r="DD313" s="20">
        <v>155.5</v>
      </c>
      <c r="DE313" s="52" t="s">
        <v>0</v>
      </c>
    </row>
    <row r="314" spans="107:109" ht="39.950000000000003" hidden="1" customHeight="1" x14ac:dyDescent="0.25">
      <c r="DC314" s="7">
        <v>312</v>
      </c>
      <c r="DD314" s="20">
        <v>156</v>
      </c>
      <c r="DE314" s="52" t="s">
        <v>0</v>
      </c>
    </row>
    <row r="315" spans="107:109" ht="39.950000000000003" hidden="1" customHeight="1" x14ac:dyDescent="0.25">
      <c r="DC315" s="7">
        <v>313</v>
      </c>
      <c r="DD315" s="20">
        <v>156.5</v>
      </c>
      <c r="DE315" s="52" t="s">
        <v>0</v>
      </c>
    </row>
    <row r="316" spans="107:109" ht="39.950000000000003" hidden="1" customHeight="1" x14ac:dyDescent="0.25">
      <c r="DC316" s="7">
        <v>314</v>
      </c>
      <c r="DD316" s="20">
        <v>157</v>
      </c>
      <c r="DE316" s="52" t="s">
        <v>0</v>
      </c>
    </row>
    <row r="317" spans="107:109" ht="39.950000000000003" hidden="1" customHeight="1" x14ac:dyDescent="0.25">
      <c r="DC317" s="7">
        <v>315</v>
      </c>
      <c r="DD317" s="20">
        <v>157.5</v>
      </c>
      <c r="DE317" s="52" t="s">
        <v>0</v>
      </c>
    </row>
    <row r="318" spans="107:109" ht="39.950000000000003" hidden="1" customHeight="1" x14ac:dyDescent="0.25">
      <c r="DC318" s="7">
        <v>316</v>
      </c>
      <c r="DD318" s="20">
        <v>158</v>
      </c>
      <c r="DE318" s="52" t="s">
        <v>0</v>
      </c>
    </row>
    <row r="319" spans="107:109" ht="39.950000000000003" hidden="1" customHeight="1" x14ac:dyDescent="0.25">
      <c r="DC319" s="7">
        <v>317</v>
      </c>
      <c r="DD319" s="20">
        <v>158.5</v>
      </c>
      <c r="DE319" s="52" t="s">
        <v>0</v>
      </c>
    </row>
    <row r="320" spans="107:109" ht="39.950000000000003" hidden="1" customHeight="1" x14ac:dyDescent="0.25">
      <c r="DC320" s="7">
        <v>318</v>
      </c>
      <c r="DD320" s="20">
        <v>159</v>
      </c>
      <c r="DE320" s="52" t="s">
        <v>0</v>
      </c>
    </row>
    <row r="321" spans="107:109" ht="39.950000000000003" hidden="1" customHeight="1" x14ac:dyDescent="0.25">
      <c r="DC321" s="7">
        <v>319</v>
      </c>
      <c r="DD321" s="20">
        <v>159.5</v>
      </c>
      <c r="DE321" s="52" t="s">
        <v>0</v>
      </c>
    </row>
    <row r="322" spans="107:109" ht="39.950000000000003" hidden="1" customHeight="1" x14ac:dyDescent="0.25">
      <c r="DC322" s="7">
        <v>320</v>
      </c>
      <c r="DD322" s="20">
        <v>160</v>
      </c>
      <c r="DE322" s="52" t="s">
        <v>0</v>
      </c>
    </row>
    <row r="323" spans="107:109" ht="39.950000000000003" hidden="1" customHeight="1" x14ac:dyDescent="0.25">
      <c r="DC323" s="7">
        <v>321</v>
      </c>
      <c r="DD323" s="20">
        <v>160.5</v>
      </c>
      <c r="DE323" s="52" t="s">
        <v>0</v>
      </c>
    </row>
    <row r="324" spans="107:109" ht="39.950000000000003" hidden="1" customHeight="1" x14ac:dyDescent="0.25">
      <c r="DC324" s="7">
        <v>322</v>
      </c>
      <c r="DD324" s="20">
        <v>161</v>
      </c>
      <c r="DE324" s="52" t="s">
        <v>0</v>
      </c>
    </row>
    <row r="325" spans="107:109" ht="39.950000000000003" hidden="1" customHeight="1" x14ac:dyDescent="0.25">
      <c r="DC325" s="7">
        <v>323</v>
      </c>
      <c r="DD325" s="20">
        <v>161.5</v>
      </c>
      <c r="DE325" s="52" t="s">
        <v>0</v>
      </c>
    </row>
    <row r="326" spans="107:109" ht="39.950000000000003" hidden="1" customHeight="1" x14ac:dyDescent="0.25">
      <c r="DC326" s="7">
        <v>324</v>
      </c>
      <c r="DD326" s="20">
        <v>162</v>
      </c>
      <c r="DE326" s="52" t="s">
        <v>0</v>
      </c>
    </row>
    <row r="327" spans="107:109" ht="39.950000000000003" hidden="1" customHeight="1" x14ac:dyDescent="0.25">
      <c r="DC327" s="7">
        <v>325</v>
      </c>
      <c r="DD327" s="20">
        <v>162.5</v>
      </c>
      <c r="DE327" s="52" t="s">
        <v>0</v>
      </c>
    </row>
    <row r="328" spans="107:109" ht="39.950000000000003" hidden="1" customHeight="1" x14ac:dyDescent="0.25">
      <c r="DC328" s="7">
        <v>326</v>
      </c>
      <c r="DD328" s="20">
        <v>163</v>
      </c>
      <c r="DE328" s="52" t="s">
        <v>0</v>
      </c>
    </row>
    <row r="329" spans="107:109" ht="39.950000000000003" hidden="1" customHeight="1" x14ac:dyDescent="0.25">
      <c r="DC329" s="7">
        <v>327</v>
      </c>
      <c r="DD329" s="20">
        <v>163.5</v>
      </c>
      <c r="DE329" s="52" t="s">
        <v>0</v>
      </c>
    </row>
    <row r="330" spans="107:109" ht="39.950000000000003" hidden="1" customHeight="1" x14ac:dyDescent="0.25">
      <c r="DC330" s="7">
        <v>328</v>
      </c>
      <c r="DD330" s="20">
        <v>164</v>
      </c>
      <c r="DE330" s="52" t="s">
        <v>0</v>
      </c>
    </row>
    <row r="331" spans="107:109" ht="39.950000000000003" hidden="1" customHeight="1" x14ac:dyDescent="0.25">
      <c r="DC331" s="7">
        <v>329</v>
      </c>
      <c r="DD331" s="20">
        <v>164.5</v>
      </c>
      <c r="DE331" s="52" t="s">
        <v>0</v>
      </c>
    </row>
    <row r="332" spans="107:109" ht="39.950000000000003" hidden="1" customHeight="1" x14ac:dyDescent="0.25">
      <c r="DC332" s="7">
        <v>330</v>
      </c>
      <c r="DD332" s="20">
        <v>165</v>
      </c>
      <c r="DE332" s="52" t="s">
        <v>0</v>
      </c>
    </row>
    <row r="333" spans="107:109" ht="39.950000000000003" hidden="1" customHeight="1" x14ac:dyDescent="0.25">
      <c r="DC333" s="7">
        <v>331</v>
      </c>
      <c r="DD333" s="20">
        <v>165.5</v>
      </c>
      <c r="DE333" s="52" t="s">
        <v>0</v>
      </c>
    </row>
    <row r="334" spans="107:109" ht="39.950000000000003" hidden="1" customHeight="1" x14ac:dyDescent="0.25">
      <c r="DC334" s="7">
        <v>332</v>
      </c>
      <c r="DD334" s="20">
        <v>166</v>
      </c>
      <c r="DE334" s="52" t="s">
        <v>0</v>
      </c>
    </row>
    <row r="335" spans="107:109" ht="39.950000000000003" hidden="1" customHeight="1" x14ac:dyDescent="0.25">
      <c r="DC335" s="7">
        <v>333</v>
      </c>
      <c r="DD335" s="20">
        <v>166.5</v>
      </c>
      <c r="DE335" s="52" t="s">
        <v>0</v>
      </c>
    </row>
    <row r="336" spans="107:109" ht="39.950000000000003" hidden="1" customHeight="1" x14ac:dyDescent="0.25">
      <c r="DC336" s="7">
        <v>334</v>
      </c>
      <c r="DD336" s="20">
        <v>167</v>
      </c>
      <c r="DE336" s="52" t="s">
        <v>0</v>
      </c>
    </row>
    <row r="337" spans="107:109" ht="39.950000000000003" hidden="1" customHeight="1" x14ac:dyDescent="0.25">
      <c r="DC337" s="7">
        <v>335</v>
      </c>
      <c r="DD337" s="20">
        <v>167.5</v>
      </c>
      <c r="DE337" s="52" t="s">
        <v>0</v>
      </c>
    </row>
    <row r="338" spans="107:109" ht="39.950000000000003" hidden="1" customHeight="1" x14ac:dyDescent="0.25">
      <c r="DC338" s="7">
        <v>336</v>
      </c>
      <c r="DD338" s="20">
        <v>168</v>
      </c>
      <c r="DE338" s="52" t="s">
        <v>0</v>
      </c>
    </row>
    <row r="339" spans="107:109" ht="39.950000000000003" hidden="1" customHeight="1" x14ac:dyDescent="0.25">
      <c r="DC339" s="7">
        <v>337</v>
      </c>
      <c r="DD339" s="20">
        <v>168.5</v>
      </c>
      <c r="DE339" s="52" t="s">
        <v>0</v>
      </c>
    </row>
    <row r="340" spans="107:109" ht="39.950000000000003" hidden="1" customHeight="1" x14ac:dyDescent="0.25">
      <c r="DC340" s="7">
        <v>338</v>
      </c>
      <c r="DD340" s="20">
        <v>169</v>
      </c>
      <c r="DE340" s="52" t="s">
        <v>0</v>
      </c>
    </row>
    <row r="341" spans="107:109" ht="39.950000000000003" hidden="1" customHeight="1" x14ac:dyDescent="0.25">
      <c r="DC341" s="7">
        <v>339</v>
      </c>
      <c r="DD341" s="20">
        <v>169.5</v>
      </c>
      <c r="DE341" s="52" t="s">
        <v>0</v>
      </c>
    </row>
    <row r="342" spans="107:109" ht="39.950000000000003" hidden="1" customHeight="1" x14ac:dyDescent="0.25">
      <c r="DC342" s="7">
        <v>340</v>
      </c>
      <c r="DD342" s="20">
        <v>170</v>
      </c>
      <c r="DE342" s="52" t="s">
        <v>0</v>
      </c>
    </row>
    <row r="343" spans="107:109" ht="39.950000000000003" hidden="1" customHeight="1" x14ac:dyDescent="0.25">
      <c r="DC343" s="7">
        <v>341</v>
      </c>
      <c r="DD343" s="20">
        <v>170.5</v>
      </c>
      <c r="DE343" s="52" t="s">
        <v>0</v>
      </c>
    </row>
    <row r="344" spans="107:109" ht="39.950000000000003" hidden="1" customHeight="1" x14ac:dyDescent="0.25">
      <c r="DC344" s="7">
        <v>342</v>
      </c>
      <c r="DD344" s="20">
        <v>171</v>
      </c>
      <c r="DE344" s="52" t="s">
        <v>0</v>
      </c>
    </row>
    <row r="345" spans="107:109" ht="39.950000000000003" hidden="1" customHeight="1" x14ac:dyDescent="0.25">
      <c r="DC345" s="7">
        <v>343</v>
      </c>
      <c r="DD345" s="20">
        <v>171.5</v>
      </c>
      <c r="DE345" s="52" t="s">
        <v>0</v>
      </c>
    </row>
    <row r="346" spans="107:109" ht="39.950000000000003" hidden="1" customHeight="1" x14ac:dyDescent="0.25">
      <c r="DC346" s="7">
        <v>344</v>
      </c>
      <c r="DD346" s="20">
        <v>172</v>
      </c>
      <c r="DE346" s="52" t="s">
        <v>0</v>
      </c>
    </row>
    <row r="347" spans="107:109" ht="39.950000000000003" hidden="1" customHeight="1" x14ac:dyDescent="0.25">
      <c r="DC347" s="7">
        <v>345</v>
      </c>
      <c r="DD347" s="20">
        <v>172.5</v>
      </c>
      <c r="DE347" s="52" t="s">
        <v>0</v>
      </c>
    </row>
    <row r="348" spans="107:109" ht="39.950000000000003" hidden="1" customHeight="1" x14ac:dyDescent="0.25">
      <c r="DC348" s="7">
        <v>346</v>
      </c>
      <c r="DD348" s="20">
        <v>173</v>
      </c>
      <c r="DE348" s="52" t="s">
        <v>0</v>
      </c>
    </row>
    <row r="349" spans="107:109" ht="39.950000000000003" hidden="1" customHeight="1" x14ac:dyDescent="0.25">
      <c r="DC349" s="7">
        <v>347</v>
      </c>
      <c r="DD349" s="20">
        <v>173.5</v>
      </c>
      <c r="DE349" s="52" t="s">
        <v>0</v>
      </c>
    </row>
    <row r="350" spans="107:109" ht="39.950000000000003" hidden="1" customHeight="1" x14ac:dyDescent="0.25">
      <c r="DC350" s="7">
        <v>348</v>
      </c>
      <c r="DD350" s="20">
        <v>174</v>
      </c>
      <c r="DE350" s="52" t="s">
        <v>0</v>
      </c>
    </row>
    <row r="351" spans="107:109" ht="39.950000000000003" hidden="1" customHeight="1" x14ac:dyDescent="0.25">
      <c r="DC351" s="7">
        <v>349</v>
      </c>
      <c r="DD351" s="20">
        <v>174.5</v>
      </c>
      <c r="DE351" s="52" t="s">
        <v>0</v>
      </c>
    </row>
    <row r="352" spans="107:109" ht="39.950000000000003" hidden="1" customHeight="1" x14ac:dyDescent="0.25">
      <c r="DC352" s="7">
        <v>350</v>
      </c>
      <c r="DD352" s="20">
        <v>175</v>
      </c>
      <c r="DE352" s="52" t="s">
        <v>0</v>
      </c>
    </row>
    <row r="353" spans="107:109" ht="39.950000000000003" hidden="1" customHeight="1" x14ac:dyDescent="0.25">
      <c r="DC353" s="7">
        <v>351</v>
      </c>
      <c r="DD353" s="20">
        <v>175.5</v>
      </c>
      <c r="DE353" s="52" t="s">
        <v>0</v>
      </c>
    </row>
    <row r="354" spans="107:109" ht="39.950000000000003" hidden="1" customHeight="1" x14ac:dyDescent="0.25">
      <c r="DC354" s="7">
        <v>352</v>
      </c>
      <c r="DD354" s="20">
        <v>176</v>
      </c>
      <c r="DE354" s="52" t="s">
        <v>0</v>
      </c>
    </row>
    <row r="355" spans="107:109" ht="39.950000000000003" hidden="1" customHeight="1" x14ac:dyDescent="0.25">
      <c r="DC355" s="7">
        <v>353</v>
      </c>
      <c r="DD355" s="20">
        <v>176.5</v>
      </c>
      <c r="DE355" s="52" t="s">
        <v>0</v>
      </c>
    </row>
    <row r="356" spans="107:109" ht="39.950000000000003" hidden="1" customHeight="1" x14ac:dyDescent="0.25">
      <c r="DC356" s="7">
        <v>354</v>
      </c>
      <c r="DD356" s="20">
        <v>177</v>
      </c>
      <c r="DE356" s="52" t="s">
        <v>0</v>
      </c>
    </row>
    <row r="357" spans="107:109" ht="39.950000000000003" hidden="1" customHeight="1" x14ac:dyDescent="0.25">
      <c r="DC357" s="7">
        <v>355</v>
      </c>
      <c r="DD357" s="20">
        <v>177.5</v>
      </c>
      <c r="DE357" s="52" t="s">
        <v>0</v>
      </c>
    </row>
    <row r="358" spans="107:109" ht="39.950000000000003" hidden="1" customHeight="1" x14ac:dyDescent="0.25">
      <c r="DC358" s="7">
        <v>356</v>
      </c>
      <c r="DD358" s="20">
        <v>178</v>
      </c>
      <c r="DE358" s="52" t="s">
        <v>0</v>
      </c>
    </row>
    <row r="359" spans="107:109" ht="39.950000000000003" hidden="1" customHeight="1" x14ac:dyDescent="0.25">
      <c r="DC359" s="7">
        <v>357</v>
      </c>
      <c r="DD359" s="20">
        <v>178.5</v>
      </c>
      <c r="DE359" s="52" t="s">
        <v>0</v>
      </c>
    </row>
    <row r="360" spans="107:109" ht="39.950000000000003" hidden="1" customHeight="1" x14ac:dyDescent="0.25">
      <c r="DC360" s="7">
        <v>358</v>
      </c>
      <c r="DD360" s="20">
        <v>179</v>
      </c>
      <c r="DE360" s="52" t="s">
        <v>0</v>
      </c>
    </row>
    <row r="361" spans="107:109" ht="39.950000000000003" hidden="1" customHeight="1" x14ac:dyDescent="0.25">
      <c r="DC361" s="7">
        <v>359</v>
      </c>
      <c r="DD361" s="20">
        <v>179.5</v>
      </c>
      <c r="DE361" s="52" t="s">
        <v>0</v>
      </c>
    </row>
    <row r="362" spans="107:109" ht="39.950000000000003" hidden="1" customHeight="1" x14ac:dyDescent="0.25">
      <c r="DC362" s="7">
        <v>360</v>
      </c>
      <c r="DD362" s="20">
        <v>180</v>
      </c>
      <c r="DE362" s="52" t="s">
        <v>0</v>
      </c>
    </row>
    <row r="363" spans="107:109" ht="9.9499999999999993" hidden="1" customHeight="1" x14ac:dyDescent="0.25"/>
  </sheetData>
  <sheetProtection algorithmName="SHA-512" hashValue="9x/jyzrY1m3/33GmE40K9ZeSbMeybWPCR/F7/K4FPBS1dJSm+YKCjQQGKaNycFnQIbmw1qqnoiZxzXYE9TP2xw==" saltValue="t8qdH3gR/7z7mzYqmTxeAQ==" spinCount="100000" sheet="1" objects="1" scenarios="1" selectLockedCells="1"/>
  <mergeCells count="25">
    <mergeCell ref="Z2:Z27"/>
    <mergeCell ref="Y2:Y27"/>
    <mergeCell ref="X1:Z1"/>
    <mergeCell ref="L1:L14"/>
    <mergeCell ref="S1:S28"/>
    <mergeCell ref="X28:Z28"/>
    <mergeCell ref="M1:M14"/>
    <mergeCell ref="T1:T28"/>
    <mergeCell ref="O1:O14"/>
    <mergeCell ref="N1:N14"/>
    <mergeCell ref="W1:W28"/>
    <mergeCell ref="X2:X27"/>
    <mergeCell ref="A28:B28"/>
    <mergeCell ref="D1:D14"/>
    <mergeCell ref="A27:B27"/>
    <mergeCell ref="K1:K14"/>
    <mergeCell ref="C1:C14"/>
    <mergeCell ref="A1:A14"/>
    <mergeCell ref="B1:B14"/>
    <mergeCell ref="G1:G14"/>
    <mergeCell ref="F1:F14"/>
    <mergeCell ref="E1:E14"/>
    <mergeCell ref="H1:H14"/>
    <mergeCell ref="I1:I14"/>
    <mergeCell ref="J1:J14"/>
  </mergeCells>
  <phoneticPr fontId="4" type="noConversion"/>
  <dataValidations count="9">
    <dataValidation type="list" allowBlank="1" showInputMessage="1" showErrorMessage="1" sqref="L15:L26" xr:uid="{7F855A35-D869-4224-B599-4BFCFF76EB17}">
      <formula1>$DE$2:$DE$50</formula1>
    </dataValidation>
    <dataValidation type="list" allowBlank="1" showInputMessage="1" showErrorMessage="1" sqref="S1:S28" xr:uid="{9054E20C-415A-4A28-9A83-E6387959DADB}">
      <formula1>"Ocak, Şubat, Mart, Nisan, Mayıs, Haziran, Temmuz, Ağustos, Eylül, Ekim, Kasım, Aralık, Yıllık Toplam, Yıllık Ortalama"</formula1>
    </dataValidation>
    <dataValidation type="list" allowBlank="1" showInputMessage="1" showErrorMessage="1" sqref="AI16" xr:uid="{E78907BA-7A5C-4BC5-9626-30F7C79A3DA3}">
      <formula1>#REF!</formula1>
    </dataValidation>
    <dataValidation type="list" allowBlank="1" showInputMessage="1" showErrorMessage="1" sqref="D15:F26" xr:uid="{D16C9647-72F6-4D86-BCEE-3739AC9AC5F3}">
      <formula1>$DD$2:$DD$362</formula1>
    </dataValidation>
    <dataValidation type="list" allowBlank="1" showInputMessage="1" showErrorMessage="1" sqref="C15:C26 BO19:BO25 BY1:BY5 BF19:BF25 BP1:BP5 BL19:BL25 BV1:BV5 G15:H26" xr:uid="{65FACC1D-9377-4225-8D3E-97700607B264}">
      <formula1>$DC$2:$DC$362</formula1>
    </dataValidation>
    <dataValidation type="list" allowBlank="1" showInputMessage="1" showErrorMessage="1" sqref="W1" xr:uid="{F853FCC4-C3B8-4272-9BE3-E548C91B3D0F}">
      <formula1>$U$1:$U$14</formula1>
    </dataValidation>
    <dataValidation type="list" allowBlank="1" showInputMessage="1" showErrorMessage="1" sqref="A1:A14" xr:uid="{AE81A231-50A0-4C37-89AE-F70005CB0F11}">
      <formula1>$AA$1:$AA$22</formula1>
    </dataValidation>
    <dataValidation type="list" allowBlank="1" showInputMessage="1" showErrorMessage="1" sqref="I15:K26" xr:uid="{0CEE7D27-52FC-455D-9195-A4A38DCB55DF}">
      <formula1>$CM$1:$CM$10</formula1>
    </dataValidation>
    <dataValidation type="list" allowBlank="1" showInputMessage="1" showErrorMessage="1" sqref="BA5:BA8 AK5:AK12" xr:uid="{00000000-0002-0000-0000-00001D000000}">
      <formula1>"Yok, Var"</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cp:lastModifiedBy>
  <cp:lastPrinted>2021-01-27T16:23:43Z</cp:lastPrinted>
  <dcterms:created xsi:type="dcterms:W3CDTF">2015-06-05T18:19:34Z</dcterms:created>
  <dcterms:modified xsi:type="dcterms:W3CDTF">2022-08-30T09:02:13Z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