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BuÇalışmaKitabı" autoCompressPictures="0" defaultThemeVersion="124226"/>
  <mc:AlternateContent xmlns:mc="http://schemas.openxmlformats.org/markup-compatibility/2006">
    <mc:Choice Requires="x15">
      <x15ac:absPath xmlns:x15ac="http://schemas.microsoft.com/office/spreadsheetml/2010/11/ac" url="D:\Arif Gürer\Web Sayfası\Ödenekler Hesabı\01 - Genel Çalışmalar\Ödenekler Hesabı\"/>
    </mc:Choice>
  </mc:AlternateContent>
  <xr:revisionPtr revIDLastSave="0" documentId="13_ncr:1_{E6C6782E-33F0-45AF-B26F-36D3E1ECED99}" xr6:coauthVersionLast="47" xr6:coauthVersionMax="47" xr10:uidLastSave="{00000000-0000-0000-0000-000000000000}"/>
  <workbookProtection workbookAlgorithmName="SHA-512" workbookHashValue="T8IJCQBF2fih2c+gAo/5PVlqM379fY1ecskVYBfZvb2qu/KI30DjAySce81omJ3Q0hGpZa+KlltOuAaBIyuU/A==" workbookSaltValue="a86SiQRqxBS1zReGglzR0g=="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8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D20" i="130" l="1"/>
  <c r="AD19" i="130" s="1"/>
  <c r="AE18" i="130"/>
  <c r="AD18" i="130"/>
  <c r="AE17" i="130"/>
  <c r="AD17" i="130"/>
  <c r="AE16" i="130"/>
  <c r="AD16" i="130"/>
  <c r="BG19" i="130"/>
  <c r="BF18" i="130"/>
  <c r="BF17" i="130"/>
  <c r="BI17" i="130" s="1"/>
  <c r="BF16" i="130"/>
  <c r="BH16" i="130" s="1"/>
  <c r="BI15" i="130"/>
  <c r="BF15" i="130"/>
  <c r="AD14" i="130"/>
  <c r="AD12" i="130"/>
  <c r="AD11" i="130"/>
  <c r="AG10" i="130"/>
  <c r="AF10" i="130"/>
  <c r="AG9" i="130"/>
  <c r="AY1" i="130" s="1"/>
  <c r="AF9" i="130"/>
  <c r="BL9" i="130" s="1"/>
  <c r="AD9" i="130"/>
  <c r="AG8" i="130"/>
  <c r="AF8" i="130"/>
  <c r="AG7" i="130"/>
  <c r="AG1" i="130" s="1"/>
  <c r="AF7" i="130"/>
  <c r="AD3" i="130"/>
  <c r="AD2" i="130"/>
  <c r="AD1" i="130"/>
  <c r="CJ10" i="130"/>
  <c r="CJ11" i="130"/>
  <c r="CJ12" i="130"/>
  <c r="CJ13" i="130"/>
  <c r="CJ14" i="130"/>
  <c r="CJ15" i="130"/>
  <c r="BW1" i="130"/>
  <c r="BW2" i="130"/>
  <c r="BW3" i="130"/>
  <c r="BW4" i="130"/>
  <c r="BW5" i="130"/>
  <c r="CJ9" i="130"/>
  <c r="AZ9" i="130"/>
  <c r="AZ10" i="130"/>
  <c r="AZ11" i="130"/>
  <c r="AZ12" i="130"/>
  <c r="AZ13" i="130"/>
  <c r="AZ14" i="130"/>
  <c r="AZ15" i="130"/>
  <c r="AZ16" i="130"/>
  <c r="AZ17" i="130"/>
  <c r="AZ18" i="130"/>
  <c r="AZ19" i="130"/>
  <c r="AZ8" i="130"/>
  <c r="AW9" i="130"/>
  <c r="AW10" i="130"/>
  <c r="AW11" i="130"/>
  <c r="AW12" i="130"/>
  <c r="AW13" i="130"/>
  <c r="AW14" i="130"/>
  <c r="AW15" i="130"/>
  <c r="AW16" i="130"/>
  <c r="AW17" i="130"/>
  <c r="AW18" i="130"/>
  <c r="AW19" i="130"/>
  <c r="AW8" i="130"/>
  <c r="CG9" i="130"/>
  <c r="CG10" i="130"/>
  <c r="CG11" i="130"/>
  <c r="CG12" i="130"/>
  <c r="CG13" i="130"/>
  <c r="CG14" i="130"/>
  <c r="BT1" i="130"/>
  <c r="BT2" i="130"/>
  <c r="BT3" i="130"/>
  <c r="BT4" i="130"/>
  <c r="BT5" i="130"/>
  <c r="CG8" i="130"/>
  <c r="AS20" i="130"/>
  <c r="BB19" i="130" s="1"/>
  <c r="AS19" i="130"/>
  <c r="BB18" i="130" s="1"/>
  <c r="AS18" i="130"/>
  <c r="BB17" i="130" s="1"/>
  <c r="AS17" i="130"/>
  <c r="BB16" i="130" s="1"/>
  <c r="AS16" i="130"/>
  <c r="BB15" i="130" s="1"/>
  <c r="AS15" i="130"/>
  <c r="BB14" i="130" s="1"/>
  <c r="AS14" i="130"/>
  <c r="BB13" i="130" s="1"/>
  <c r="AS13" i="130"/>
  <c r="BB12" i="130" s="1"/>
  <c r="AS12" i="130"/>
  <c r="BB11" i="130" s="1"/>
  <c r="AS11" i="130"/>
  <c r="BB10" i="130" s="1"/>
  <c r="AS10" i="130"/>
  <c r="BB9" i="130" s="1"/>
  <c r="AS9" i="130"/>
  <c r="BB8" i="130" s="1"/>
  <c r="AQ20" i="130"/>
  <c r="AQ19" i="130"/>
  <c r="AQ18" i="130"/>
  <c r="AQ17" i="130"/>
  <c r="AQ16" i="130"/>
  <c r="AQ15" i="130"/>
  <c r="AQ14" i="130"/>
  <c r="AQ13" i="130"/>
  <c r="AQ12" i="130"/>
  <c r="AQ11" i="130"/>
  <c r="AQ10" i="130"/>
  <c r="AQ9" i="130"/>
  <c r="AO10" i="130"/>
  <c r="AO11" i="130"/>
  <c r="AO12" i="130"/>
  <c r="AO13" i="130"/>
  <c r="AO14" i="130"/>
  <c r="AO9" i="130"/>
  <c r="AO16" i="130"/>
  <c r="AO17" i="130"/>
  <c r="AO18" i="130"/>
  <c r="AO19" i="130"/>
  <c r="AO20" i="130"/>
  <c r="AO15" i="130"/>
  <c r="B1" i="130"/>
  <c r="CD9" i="130"/>
  <c r="CD10" i="130"/>
  <c r="CD11" i="130"/>
  <c r="CD12" i="130"/>
  <c r="CD13" i="130"/>
  <c r="CD14" i="130"/>
  <c r="BQ1" i="130"/>
  <c r="BQ2" i="130"/>
  <c r="BQ3" i="130"/>
  <c r="BQ4" i="130"/>
  <c r="BQ5" i="130"/>
  <c r="CD8" i="130"/>
  <c r="BU9" i="130"/>
  <c r="BU10" i="130"/>
  <c r="BU11" i="130"/>
  <c r="BU12" i="130"/>
  <c r="BU13" i="130"/>
  <c r="BU14" i="130"/>
  <c r="BH1" i="130"/>
  <c r="BH2" i="130"/>
  <c r="BH3" i="130"/>
  <c r="BH4" i="130"/>
  <c r="BH5" i="130"/>
  <c r="BU8" i="130"/>
  <c r="AY9" i="130"/>
  <c r="AY10" i="130"/>
  <c r="AY11" i="130"/>
  <c r="AY12" i="130"/>
  <c r="AY13" i="130"/>
  <c r="AY14" i="130"/>
  <c r="AY15" i="130"/>
  <c r="AY16" i="130"/>
  <c r="AY17" i="130"/>
  <c r="AY18" i="130"/>
  <c r="AY19" i="130"/>
  <c r="AY8" i="130"/>
  <c r="AF12" i="130" l="1"/>
  <c r="AF5" i="130" s="1"/>
  <c r="AG19" i="130"/>
  <c r="AF19" i="130"/>
  <c r="AF1" i="130"/>
  <c r="AG12" i="130"/>
  <c r="AG5" i="130" s="1"/>
  <c r="AF2" i="130"/>
  <c r="AD13" i="130"/>
  <c r="AG13" i="130" s="1"/>
  <c r="AG6" i="130" s="1"/>
  <c r="BL8" i="130"/>
  <c r="BL12" i="130"/>
  <c r="AF3" i="130"/>
  <c r="AG11" i="130"/>
  <c r="AG4" i="130" s="1"/>
  <c r="BH18" i="130"/>
  <c r="BI18" i="130"/>
  <c r="BF19" i="130"/>
  <c r="BI19" i="130" s="1"/>
  <c r="AF20" i="130"/>
  <c r="BI16" i="130"/>
  <c r="AG20" i="130"/>
  <c r="AG3" i="130"/>
  <c r="BH17" i="130"/>
  <c r="AG2" i="130"/>
  <c r="AF11" i="130"/>
  <c r="AF4" i="130" s="1"/>
  <c r="AF14" i="130"/>
  <c r="AF15" i="130" s="1"/>
  <c r="BH15" i="130"/>
  <c r="BL13" i="130"/>
  <c r="BL11" i="130"/>
  <c r="BL10" i="130"/>
  <c r="BL14" i="130"/>
  <c r="AY5" i="130"/>
  <c r="AY4" i="130"/>
  <c r="AY3" i="130"/>
  <c r="AY2" i="130"/>
  <c r="BT6" i="130"/>
  <c r="BT7" i="130" s="1"/>
  <c r="AG14" i="130" l="1"/>
  <c r="AG15" i="130" s="1"/>
  <c r="AF13" i="130"/>
  <c r="AF6" i="130" s="1"/>
  <c r="BI20" i="130"/>
  <c r="BH19" i="130"/>
  <c r="BH20" i="130" s="1"/>
  <c r="R8" i="130"/>
  <c r="Q8" i="130" s="1"/>
  <c r="BH11" i="130"/>
  <c r="BH12" i="130"/>
  <c r="BH13" i="130"/>
  <c r="BH14" i="130"/>
  <c r="AU1" i="130"/>
  <c r="AU2" i="130"/>
  <c r="AU3" i="130"/>
  <c r="AU4" i="130"/>
  <c r="AU5" i="130"/>
  <c r="BH10" i="130"/>
  <c r="BH9" i="130"/>
  <c r="BH8" i="130"/>
  <c r="BR26" i="130"/>
  <c r="A16" i="130" s="1"/>
  <c r="BR27" i="130"/>
  <c r="A17" i="130" s="1"/>
  <c r="BR28" i="130"/>
  <c r="A18" i="130" s="1"/>
  <c r="BR29" i="130"/>
  <c r="A19" i="130" s="1"/>
  <c r="BR30" i="130"/>
  <c r="A20" i="130" s="1"/>
  <c r="BR31" i="130"/>
  <c r="A21" i="130" s="1"/>
  <c r="BR32" i="130"/>
  <c r="A22" i="130" s="1"/>
  <c r="BR33" i="130"/>
  <c r="A23" i="130" s="1"/>
  <c r="BR34" i="130"/>
  <c r="A24" i="130" s="1"/>
  <c r="BR35" i="130"/>
  <c r="A25" i="130" s="1"/>
  <c r="BR36" i="130"/>
  <c r="A26" i="130" s="1"/>
  <c r="BR25" i="130"/>
  <c r="A15" i="130" s="1"/>
  <c r="CD16" i="130"/>
  <c r="CD17" i="130"/>
  <c r="CD18" i="130"/>
  <c r="CD19" i="130"/>
  <c r="CD20" i="130"/>
  <c r="CD21" i="130"/>
  <c r="CD22" i="130"/>
  <c r="CD23" i="130"/>
  <c r="CD24" i="130"/>
  <c r="CD25" i="130"/>
  <c r="CD26" i="130"/>
  <c r="CD15" i="130"/>
  <c r="CE26" i="130"/>
  <c r="CE16" i="130"/>
  <c r="CE17" i="130"/>
  <c r="CE18" i="130"/>
  <c r="CE19" i="130"/>
  <c r="CE20" i="130"/>
  <c r="CE21" i="130"/>
  <c r="CE22" i="130"/>
  <c r="CE23" i="130"/>
  <c r="CE24" i="130"/>
  <c r="CE25" i="130"/>
  <c r="CE15" i="130"/>
  <c r="BI13" i="130" l="1"/>
  <c r="AV1" i="130"/>
  <c r="AV2" i="130"/>
  <c r="AV3" i="130"/>
  <c r="AV4" i="130"/>
  <c r="AV5" i="130"/>
  <c r="BI14" i="130"/>
  <c r="BC1" i="130"/>
  <c r="BE1" i="130"/>
  <c r="BC2" i="130"/>
  <c r="BE2" i="130"/>
  <c r="BC3" i="130"/>
  <c r="BE3" i="130"/>
  <c r="BC4" i="130"/>
  <c r="BE4" i="130"/>
  <c r="BC5" i="130"/>
  <c r="BE5" i="130"/>
  <c r="BP14" i="130"/>
  <c r="BR14" i="130"/>
  <c r="BI9" i="130"/>
  <c r="BP9" i="130"/>
  <c r="BR9" i="130"/>
  <c r="BI10" i="130"/>
  <c r="BP10" i="130"/>
  <c r="BR10" i="130"/>
  <c r="BI11" i="130"/>
  <c r="BP11" i="130"/>
  <c r="BR11" i="130"/>
  <c r="BI12" i="130"/>
  <c r="BP12" i="130"/>
  <c r="BR12" i="130"/>
  <c r="BP13" i="130"/>
  <c r="BR13" i="130"/>
  <c r="BR8" i="130"/>
  <c r="BI8" i="130" l="1"/>
  <c r="BN5" i="130" l="1"/>
  <c r="BN4" i="130"/>
  <c r="BN3" i="130"/>
  <c r="BN2" i="130"/>
  <c r="BN1" i="130"/>
  <c r="CA14" i="130"/>
  <c r="CA13" i="130"/>
  <c r="CA12" i="130"/>
  <c r="CA11" i="130"/>
  <c r="CA10" i="130"/>
  <c r="CA9" i="130"/>
  <c r="CA8" i="130"/>
  <c r="BE15" i="130" l="1"/>
  <c r="BE16" i="130"/>
  <c r="BE17" i="130"/>
  <c r="BE18" i="130"/>
  <c r="BE19" i="130"/>
  <c r="BE8" i="130"/>
  <c r="BE9" i="130"/>
  <c r="BE10" i="130"/>
  <c r="BE11" i="130"/>
  <c r="BE12" i="130"/>
  <c r="BE13" i="130"/>
  <c r="BE14" i="130"/>
  <c r="AZ23" i="130"/>
  <c r="AY23" i="130"/>
  <c r="AM4" i="130"/>
  <c r="AM3" i="130"/>
  <c r="AM2" i="130"/>
  <c r="AM1" i="130"/>
  <c r="BL22" i="130"/>
  <c r="BL21" i="130"/>
  <c r="BL20" i="130"/>
  <c r="BL19" i="130"/>
  <c r="BL18" i="130"/>
  <c r="BL17" i="130"/>
  <c r="BL16" i="130"/>
  <c r="BL15" i="130"/>
  <c r="BK22" i="130"/>
  <c r="AL1" i="130"/>
  <c r="AL2" i="130"/>
  <c r="AL3" i="130"/>
  <c r="AN3" i="130" s="1"/>
  <c r="AL4" i="130"/>
  <c r="AN4" i="130" s="1"/>
  <c r="BK21" i="130"/>
  <c r="BK16" i="130"/>
  <c r="BK17" i="130"/>
  <c r="BK18" i="130"/>
  <c r="BK19" i="130"/>
  <c r="BK20" i="130"/>
  <c r="BK15" i="130"/>
  <c r="BM15" i="130" l="1"/>
  <c r="AN2" i="130"/>
  <c r="BM18" i="130"/>
  <c r="BM21" i="130"/>
  <c r="BM16" i="130"/>
  <c r="BM19" i="130"/>
  <c r="BM20" i="130"/>
  <c r="AN1" i="130"/>
  <c r="BM22" i="130"/>
  <c r="BM17" i="130"/>
  <c r="Y2" i="130"/>
  <c r="BX9" i="130" l="1"/>
  <c r="BX10" i="130"/>
  <c r="BX11" i="130"/>
  <c r="BX12" i="130"/>
  <c r="BX13" i="130"/>
  <c r="BX14" i="130"/>
  <c r="BK1" i="130"/>
  <c r="BK2" i="130"/>
  <c r="BK3" i="130"/>
  <c r="BK4" i="130"/>
  <c r="BK5" i="130"/>
  <c r="BX8" i="130"/>
  <c r="BW9" i="130"/>
  <c r="BW10" i="130"/>
  <c r="BW11" i="130"/>
  <c r="BW12" i="130"/>
  <c r="BW13" i="130"/>
  <c r="BW14" i="130"/>
  <c r="AP6" i="130" s="1"/>
  <c r="BJ1" i="130"/>
  <c r="BJ2" i="130"/>
  <c r="AP8" i="130" s="1"/>
  <c r="BJ3" i="130"/>
  <c r="BJ4" i="130"/>
  <c r="BJ5" i="130"/>
  <c r="BW8" i="130"/>
  <c r="BV9" i="130"/>
  <c r="BV10" i="130"/>
  <c r="BV11" i="130"/>
  <c r="BV12" i="130"/>
  <c r="BV13" i="130"/>
  <c r="BV14" i="130"/>
  <c r="BI1" i="130"/>
  <c r="BI2" i="130"/>
  <c r="BI3" i="130"/>
  <c r="BI4" i="130"/>
  <c r="BI5" i="130"/>
  <c r="BV8" i="130"/>
  <c r="BP8" i="130"/>
  <c r="CA16" i="130"/>
  <c r="CA17" i="130"/>
  <c r="CA18" i="130"/>
  <c r="CA19" i="130"/>
  <c r="CA15" i="130" l="1"/>
  <c r="BZ22" i="130"/>
  <c r="BZ21" i="130"/>
  <c r="BZ20" i="130"/>
  <c r="AP7" i="130"/>
  <c r="AP5" i="130"/>
  <c r="CG16" i="130" l="1"/>
  <c r="CG17" i="130"/>
  <c r="CG18" i="130"/>
  <c r="CG19" i="130"/>
  <c r="CG20" i="130"/>
  <c r="CG21" i="130"/>
  <c r="CG22" i="130"/>
  <c r="CG23" i="130"/>
  <c r="CG24" i="130"/>
  <c r="CG25" i="130"/>
  <c r="CG26" i="130"/>
  <c r="CG15" i="130"/>
  <c r="BP24" i="130"/>
  <c r="BO24" i="130"/>
  <c r="BV16" i="130"/>
  <c r="BW16" i="130" s="1"/>
  <c r="BV17" i="130"/>
  <c r="BV18" i="130"/>
  <c r="BV19" i="130"/>
  <c r="BW19" i="130" s="1"/>
  <c r="AK5" i="130"/>
  <c r="AL5" i="130" s="1"/>
  <c r="AK6" i="130"/>
  <c r="AK7" i="130"/>
  <c r="AL7" i="130" s="1"/>
  <c r="AK8" i="130"/>
  <c r="AL8" i="130" s="1"/>
  <c r="CA1" i="130"/>
  <c r="CA2" i="130"/>
  <c r="CB2" i="130" s="1"/>
  <c r="CA3" i="130"/>
  <c r="CB3" i="130" s="1"/>
  <c r="BV15" i="130"/>
  <c r="AL23" i="130"/>
  <c r="AL24" i="130" s="1"/>
  <c r="AK23" i="130"/>
  <c r="AK24" i="130" s="1"/>
  <c r="BV4" i="130" l="1"/>
  <c r="BC18" i="130"/>
  <c r="BS4" i="130"/>
  <c r="CI14" i="130"/>
  <c r="BC14" i="130"/>
  <c r="CF14" i="130"/>
  <c r="BV5" i="130"/>
  <c r="BC19" i="130"/>
  <c r="BS5" i="130"/>
  <c r="BV2" i="130"/>
  <c r="BC16" i="130"/>
  <c r="BS2" i="130"/>
  <c r="CI13" i="130"/>
  <c r="BC13" i="130"/>
  <c r="CF13" i="130"/>
  <c r="CI8" i="130"/>
  <c r="BC8" i="130"/>
  <c r="CF8" i="130"/>
  <c r="BV1" i="130"/>
  <c r="BC15" i="130"/>
  <c r="BS1" i="130"/>
  <c r="CI12" i="130"/>
  <c r="BC12" i="130"/>
  <c r="CF12" i="130"/>
  <c r="BV3" i="130"/>
  <c r="BC17" i="130"/>
  <c r="BS3" i="130"/>
  <c r="CI11" i="130"/>
  <c r="BC11" i="130"/>
  <c r="CF11" i="130"/>
  <c r="CI10" i="130"/>
  <c r="BC10" i="130"/>
  <c r="CF10" i="130"/>
  <c r="CI9" i="130"/>
  <c r="BC9" i="130"/>
  <c r="CF9" i="130"/>
  <c r="CC8" i="130"/>
  <c r="BZ8" i="130"/>
  <c r="BT8" i="130"/>
  <c r="BP2" i="130"/>
  <c r="BM2" i="130"/>
  <c r="BG2" i="130"/>
  <c r="BP3" i="130"/>
  <c r="BM3" i="130"/>
  <c r="BG3" i="130"/>
  <c r="BP1" i="130"/>
  <c r="BM1" i="130"/>
  <c r="BG1" i="130"/>
  <c r="CC13" i="130"/>
  <c r="BZ13" i="130"/>
  <c r="BT13" i="130"/>
  <c r="CC11" i="130"/>
  <c r="BZ11" i="130"/>
  <c r="BT11" i="130"/>
  <c r="BP5" i="130"/>
  <c r="BM5" i="130"/>
  <c r="BG5" i="130"/>
  <c r="CC14" i="130"/>
  <c r="BZ14" i="130"/>
  <c r="BT14" i="130"/>
  <c r="CC10" i="130"/>
  <c r="BZ10" i="130"/>
  <c r="BT10" i="130"/>
  <c r="BP4" i="130"/>
  <c r="BM4" i="130"/>
  <c r="BG4" i="130"/>
  <c r="CC12" i="130"/>
  <c r="BZ12" i="130"/>
  <c r="BT12" i="130"/>
  <c r="CC9" i="130"/>
  <c r="BZ9" i="130"/>
  <c r="BT9" i="130"/>
  <c r="AX19" i="130"/>
  <c r="AP20" i="130"/>
  <c r="AR20" i="130"/>
  <c r="AN20" i="130"/>
  <c r="AD34" i="130" s="1"/>
  <c r="AE34" i="130" s="1"/>
  <c r="BM36" i="130" s="1"/>
  <c r="BD19" i="130"/>
  <c r="BA19" i="130"/>
  <c r="AX18" i="130"/>
  <c r="AN19" i="130"/>
  <c r="AD33" i="130" s="1"/>
  <c r="AE33" i="130" s="1"/>
  <c r="BM35" i="130" s="1"/>
  <c r="AP19" i="130"/>
  <c r="AR19" i="130"/>
  <c r="BA18" i="130"/>
  <c r="BD18" i="130"/>
  <c r="AX14" i="130"/>
  <c r="AN15" i="130"/>
  <c r="AD29" i="130" s="1"/>
  <c r="AE29" i="130" s="1"/>
  <c r="BM31" i="130" s="1"/>
  <c r="AP15" i="130"/>
  <c r="AR15" i="130"/>
  <c r="BD14" i="130"/>
  <c r="BA14" i="130"/>
  <c r="AX12" i="130"/>
  <c r="AR13" i="130"/>
  <c r="AP13" i="130"/>
  <c r="AN13" i="130"/>
  <c r="AD27" i="130" s="1"/>
  <c r="AE27" i="130" s="1"/>
  <c r="BM29" i="130" s="1"/>
  <c r="BA12" i="130"/>
  <c r="BD12" i="130"/>
  <c r="AX8" i="130"/>
  <c r="AR9" i="130"/>
  <c r="AN9" i="130"/>
  <c r="AP9" i="130"/>
  <c r="BA8" i="130"/>
  <c r="BD8" i="130"/>
  <c r="AX17" i="130"/>
  <c r="AN18" i="130"/>
  <c r="AD32" i="130" s="1"/>
  <c r="AE32" i="130" s="1"/>
  <c r="BM34" i="130" s="1"/>
  <c r="AP18" i="130"/>
  <c r="AR18" i="130"/>
  <c r="BA17" i="130"/>
  <c r="BD17" i="130"/>
  <c r="AX15" i="130"/>
  <c r="AP16" i="130"/>
  <c r="AR16" i="130"/>
  <c r="AN16" i="130"/>
  <c r="AD30" i="130" s="1"/>
  <c r="AE30" i="130" s="1"/>
  <c r="BM32" i="130" s="1"/>
  <c r="BD15" i="130"/>
  <c r="BA15" i="130"/>
  <c r="AX11" i="130"/>
  <c r="AR12" i="130"/>
  <c r="AN12" i="130"/>
  <c r="AD26" i="130" s="1"/>
  <c r="AE26" i="130" s="1"/>
  <c r="BM28" i="130" s="1"/>
  <c r="AP12" i="130"/>
  <c r="BD11" i="130"/>
  <c r="BA11" i="130"/>
  <c r="AX13" i="130"/>
  <c r="AN14" i="130"/>
  <c r="AD28" i="130" s="1"/>
  <c r="AE28" i="130" s="1"/>
  <c r="BM30" i="130" s="1"/>
  <c r="AP14" i="130"/>
  <c r="AR14" i="130"/>
  <c r="BD13" i="130"/>
  <c r="BA13" i="130"/>
  <c r="AX10" i="130"/>
  <c r="AN11" i="130"/>
  <c r="AD25" i="130" s="1"/>
  <c r="AE25" i="130" s="1"/>
  <c r="BM27" i="130" s="1"/>
  <c r="AP11" i="130"/>
  <c r="AR11" i="130"/>
  <c r="BA10" i="130"/>
  <c r="BD10" i="130"/>
  <c r="AX16" i="130"/>
  <c r="AN17" i="130"/>
  <c r="AD31" i="130" s="1"/>
  <c r="AE31" i="130" s="1"/>
  <c r="BM33" i="130" s="1"/>
  <c r="AP17" i="130"/>
  <c r="AR17" i="130"/>
  <c r="BA16" i="130"/>
  <c r="BD16" i="130"/>
  <c r="AX9" i="130"/>
  <c r="AN10" i="130"/>
  <c r="AD24" i="130" s="1"/>
  <c r="AE24" i="130" s="1"/>
  <c r="BM26" i="130" s="1"/>
  <c r="AP10" i="130"/>
  <c r="AR10" i="130"/>
  <c r="BA9" i="130"/>
  <c r="BD9" i="130"/>
  <c r="AV6" i="130"/>
  <c r="AV7" i="130" s="1"/>
  <c r="BW17" i="130"/>
  <c r="CA4" i="130"/>
  <c r="CA5" i="130" s="1"/>
  <c r="BW15" i="130"/>
  <c r="CB1" i="130"/>
  <c r="AL6" i="130"/>
  <c r="BW18" i="130"/>
  <c r="BS6" i="130" l="1"/>
  <c r="BS7" i="130" s="1"/>
  <c r="AD23" i="130"/>
  <c r="AP21" i="130"/>
  <c r="AP22" i="130" s="1"/>
  <c r="AR21" i="130"/>
  <c r="AR22" i="130" s="1"/>
  <c r="E27" i="130"/>
  <c r="D27" i="130"/>
  <c r="BO6" i="130"/>
  <c r="BF6" i="130"/>
  <c r="F27" i="130"/>
  <c r="AW25" i="130"/>
  <c r="AW26" i="130"/>
  <c r="AW27" i="130"/>
  <c r="AW28" i="130"/>
  <c r="AW29" i="130"/>
  <c r="AW30" i="130"/>
  <c r="AW31" i="130"/>
  <c r="AW32" i="130"/>
  <c r="AW33" i="130"/>
  <c r="AW34" i="130"/>
  <c r="AW35" i="130"/>
  <c r="AW24" i="130"/>
  <c r="BO16" i="130"/>
  <c r="BO17" i="130"/>
  <c r="BO18" i="130"/>
  <c r="BO19" i="130"/>
  <c r="BO20" i="130"/>
  <c r="BO21" i="130"/>
  <c r="BO22" i="130"/>
  <c r="AP1" i="130"/>
  <c r="AP2" i="130"/>
  <c r="AP3" i="130"/>
  <c r="AP4" i="130"/>
  <c r="BO15" i="130"/>
  <c r="BP15" i="130" s="1"/>
  <c r="BE32" i="130"/>
  <c r="BE34" i="130"/>
  <c r="BE35" i="130"/>
  <c r="BE25" i="130"/>
  <c r="AT25" i="130"/>
  <c r="AE23" i="130" l="1"/>
  <c r="BM25" i="130" s="1"/>
  <c r="BR15" i="130"/>
  <c r="BQ15" i="130"/>
  <c r="AY6" i="130"/>
  <c r="AY7" i="130" s="1"/>
  <c r="AO23" i="130"/>
  <c r="AO24" i="130" s="1"/>
  <c r="AW36" i="130"/>
  <c r="AW37" i="130" s="1"/>
  <c r="BC6" i="130"/>
  <c r="BC7" i="130" s="1"/>
  <c r="BP19" i="130"/>
  <c r="AQ1" i="130"/>
  <c r="AQ3" i="130"/>
  <c r="AQ4" i="130"/>
  <c r="BE33" i="130"/>
  <c r="BE31" i="130"/>
  <c r="BE30" i="130"/>
  <c r="BE29" i="130"/>
  <c r="BE28" i="130"/>
  <c r="BE27" i="130"/>
  <c r="BE26" i="130"/>
  <c r="BE24" i="130"/>
  <c r="AQ2" i="130"/>
  <c r="BP20" i="130"/>
  <c r="BN22" i="130"/>
  <c r="BP22" i="130"/>
  <c r="BP21" i="130"/>
  <c r="BP18" i="130"/>
  <c r="BP17" i="130"/>
  <c r="BP16" i="130"/>
  <c r="AS1" i="130" l="1"/>
  <c r="AR1" i="130"/>
  <c r="BR22" i="130"/>
  <c r="BQ22" i="130"/>
  <c r="AS3" i="130"/>
  <c r="AR3" i="130"/>
  <c r="BR19" i="130"/>
  <c r="BQ19" i="130"/>
  <c r="BR21" i="130"/>
  <c r="BQ21" i="130"/>
  <c r="BR18" i="130"/>
  <c r="BQ18" i="130"/>
  <c r="AS4" i="130"/>
  <c r="AR4" i="130"/>
  <c r="BR20" i="130"/>
  <c r="BQ20" i="130"/>
  <c r="BR16" i="130"/>
  <c r="BQ16" i="130"/>
  <c r="BR17" i="130"/>
  <c r="BQ17" i="130"/>
  <c r="AS2" i="130"/>
  <c r="AR2" i="130"/>
  <c r="AP23" i="130"/>
  <c r="AP24" i="130" s="1"/>
  <c r="BE36" i="130"/>
  <c r="BE37" i="130" s="1"/>
  <c r="AO3" i="130"/>
  <c r="BN21" i="130"/>
  <c r="AO2" i="130"/>
  <c r="AO1" i="130"/>
  <c r="AO4" i="130"/>
  <c r="AW20" i="130" l="1"/>
  <c r="AW21" i="130" s="1"/>
  <c r="AZ20" i="130"/>
  <c r="AZ21" i="130" s="1"/>
  <c r="BN20" i="130" l="1"/>
  <c r="BN19" i="130"/>
  <c r="BN18" i="130"/>
  <c r="BN17" i="130"/>
  <c r="BN16" i="130"/>
  <c r="BN15" i="130"/>
  <c r="AM23" i="130" l="1"/>
  <c r="AM24" i="130" s="1"/>
  <c r="CB4" i="130"/>
  <c r="CB5" i="130" s="1"/>
  <c r="AN23" i="130"/>
  <c r="AN24" i="130" s="1"/>
  <c r="AR23" i="130" l="1"/>
  <c r="AR24" i="130" s="1"/>
  <c r="AX24" i="130"/>
  <c r="BF24" i="130"/>
  <c r="AY24" i="130" l="1"/>
  <c r="AI9" i="130"/>
  <c r="AH10" i="130" s="1"/>
  <c r="AJ9" i="130" l="1"/>
  <c r="AV8" i="130" s="1"/>
  <c r="AU8" i="130" s="1"/>
  <c r="AK9" i="130"/>
  <c r="AL9" i="130" l="1"/>
  <c r="AI10" i="130"/>
  <c r="AH11" i="130" s="1"/>
  <c r="AJ10" i="130" l="1"/>
  <c r="AV9" i="130" s="1"/>
  <c r="AU9" i="130" s="1"/>
  <c r="AK10" i="130"/>
  <c r="AL10" i="130" l="1"/>
  <c r="AI11" i="130"/>
  <c r="AH12" i="130" s="1"/>
  <c r="AJ11" i="130" l="1"/>
  <c r="AV10" i="130" s="1"/>
  <c r="AU10" i="130" s="1"/>
  <c r="AK11" i="130"/>
  <c r="AL11" i="130" l="1"/>
  <c r="AI12" i="130"/>
  <c r="AH13" i="130" s="1"/>
  <c r="AJ12" i="130" l="1"/>
  <c r="AV11" i="130" s="1"/>
  <c r="AU11" i="130" s="1"/>
  <c r="AK12" i="130"/>
  <c r="AL12" i="130" l="1"/>
  <c r="AI13" i="130"/>
  <c r="AH14" i="130" s="1"/>
  <c r="AJ13" i="130" l="1"/>
  <c r="AV12" i="130" s="1"/>
  <c r="AU12" i="130" s="1"/>
  <c r="AK13" i="130"/>
  <c r="AL13" i="130" l="1"/>
  <c r="AI14" i="130"/>
  <c r="AH15" i="130" s="1"/>
  <c r="AK14" i="130" l="1"/>
  <c r="AJ14" i="130"/>
  <c r="AV13" i="130" s="1"/>
  <c r="AU13" i="130" s="1"/>
  <c r="AL14" i="130" l="1"/>
  <c r="AI15" i="130"/>
  <c r="AH16" i="130" s="1"/>
  <c r="AK15" i="130" l="1"/>
  <c r="AJ15" i="130"/>
  <c r="AV14" i="130" s="1"/>
  <c r="AU14" i="130" s="1"/>
  <c r="AL15" i="130" l="1"/>
  <c r="AI16" i="130"/>
  <c r="AH17" i="130" s="1"/>
  <c r="AJ16" i="130" l="1"/>
  <c r="AV15" i="130" s="1"/>
  <c r="AU15" i="130" s="1"/>
  <c r="AK16" i="130"/>
  <c r="AL16" i="130" l="1"/>
  <c r="AI17" i="130"/>
  <c r="AH18" i="130" s="1"/>
  <c r="AJ17" i="130" l="1"/>
  <c r="AV16" i="130" s="1"/>
  <c r="AU16" i="130" s="1"/>
  <c r="AK17" i="130"/>
  <c r="AL17" i="130" l="1"/>
  <c r="AI18" i="130"/>
  <c r="AH19" i="130" s="1"/>
  <c r="AK18" i="130" l="1"/>
  <c r="AJ18" i="130"/>
  <c r="AV17" i="130" s="1"/>
  <c r="AU17" i="130" s="1"/>
  <c r="AL18" i="130" l="1"/>
  <c r="AI19" i="130"/>
  <c r="AH20" i="130" s="1"/>
  <c r="AK19" i="130" l="1"/>
  <c r="AJ19" i="130"/>
  <c r="AV18" i="130" s="1"/>
  <c r="AU18" i="130" s="1"/>
  <c r="AL19" i="130" l="1"/>
  <c r="AI20" i="130"/>
  <c r="AJ20" i="130" l="1"/>
  <c r="AV19" i="130" s="1"/>
  <c r="AU19" i="130" s="1"/>
  <c r="AK20" i="130"/>
  <c r="AK21" i="130" s="1"/>
  <c r="AJ21" i="130" l="1"/>
  <c r="AL20" i="130"/>
  <c r="AL21" i="130" s="1"/>
  <c r="AT28" i="130" l="1"/>
  <c r="AT27" i="130"/>
  <c r="AT26" i="130"/>
  <c r="AV25" i="130" l="1"/>
  <c r="AV26" i="130" s="1"/>
  <c r="AV27" i="130" s="1"/>
  <c r="AV28" i="130" s="1"/>
  <c r="AX29" i="130" l="1"/>
  <c r="BF29" i="130"/>
  <c r="AX27" i="130"/>
  <c r="BF27" i="130"/>
  <c r="AX25" i="130"/>
  <c r="BF25" i="130"/>
  <c r="AY25" i="130" l="1"/>
  <c r="AZ25" i="130" s="1"/>
  <c r="AX26" i="130"/>
  <c r="AY27" i="130" s="1"/>
  <c r="AZ27" i="130" s="1"/>
  <c r="BF26" i="130"/>
  <c r="AX28" i="130"/>
  <c r="BF28" i="130"/>
  <c r="AY28" i="130" l="1"/>
  <c r="AZ28" i="130" s="1"/>
  <c r="AY29" i="130"/>
  <c r="AZ29" i="130" s="1"/>
  <c r="AY26" i="130"/>
  <c r="AZ26" i="130" s="1"/>
  <c r="AX30" i="130"/>
  <c r="AY30" i="130" s="1"/>
  <c r="AZ30" i="130" s="1"/>
  <c r="BF30" i="130"/>
  <c r="AX34" i="130" l="1"/>
  <c r="BF34" i="130"/>
  <c r="AX32" i="130"/>
  <c r="BF32" i="130"/>
  <c r="AX33" i="130"/>
  <c r="BF33" i="130"/>
  <c r="AX31" i="130"/>
  <c r="BF31" i="130"/>
  <c r="BF35" i="130"/>
  <c r="AY34" i="130" l="1"/>
  <c r="AZ34" i="130" s="1"/>
  <c r="AY33" i="130"/>
  <c r="AZ33" i="130" s="1"/>
  <c r="BF36" i="130"/>
  <c r="BF37" i="130" s="1"/>
  <c r="AQ23" i="130"/>
  <c r="AQ24" i="130" s="1"/>
  <c r="AY31" i="130"/>
  <c r="AZ31" i="130" s="1"/>
  <c r="AY32" i="130"/>
  <c r="AZ32" i="130" s="1"/>
  <c r="AX35" i="130"/>
  <c r="AX36" i="130" l="1"/>
  <c r="AX37" i="130" s="1"/>
  <c r="AY35" i="130"/>
  <c r="AZ35" i="130" s="1"/>
  <c r="BA35" i="130" s="1"/>
  <c r="BB35" i="130" s="1"/>
  <c r="BC35" i="130" s="1"/>
  <c r="AZ24" i="130"/>
  <c r="BA24" i="130" s="1"/>
  <c r="BB24" i="130" s="1"/>
  <c r="BC24" i="130" s="1"/>
  <c r="BA26" i="130"/>
  <c r="BB26" i="130" s="1"/>
  <c r="BC26" i="130" s="1"/>
  <c r="BA27" i="130"/>
  <c r="BB27" i="130" s="1"/>
  <c r="BC27" i="130" s="1"/>
  <c r="BA28" i="130"/>
  <c r="BB28" i="130" s="1"/>
  <c r="BC28" i="130" s="1"/>
  <c r="BA29" i="130"/>
  <c r="BB29" i="130" s="1"/>
  <c r="BC29" i="130" s="1"/>
  <c r="BA30" i="130"/>
  <c r="BB30" i="130" s="1"/>
  <c r="BC30" i="130" s="1"/>
  <c r="BA31" i="130"/>
  <c r="BB31" i="130" s="1"/>
  <c r="BC31" i="130" s="1"/>
  <c r="BA32" i="130"/>
  <c r="BB32" i="130" s="1"/>
  <c r="BC32" i="130" s="1"/>
  <c r="BA33" i="130"/>
  <c r="BB33" i="130" s="1"/>
  <c r="BC33" i="130" s="1"/>
  <c r="BA34" i="130"/>
  <c r="BB34" i="130" s="1"/>
  <c r="BC34" i="130" s="1"/>
  <c r="BD32" i="130" l="1"/>
  <c r="BD31" i="130"/>
  <c r="BD28" i="130"/>
  <c r="BD33" i="130"/>
  <c r="BD30" i="130"/>
  <c r="BD26" i="130"/>
  <c r="BD24" i="130"/>
  <c r="BD34" i="130"/>
  <c r="BD29" i="130"/>
  <c r="BD27" i="130"/>
  <c r="BD35" i="130"/>
  <c r="BA25" i="130"/>
  <c r="BB25" i="130" s="1"/>
  <c r="BC25" i="130" s="1"/>
  <c r="CE27" i="130" l="1"/>
  <c r="CE28" i="130" s="1"/>
  <c r="BD25" i="130"/>
  <c r="BC36" i="130" l="1"/>
  <c r="BC37" i="130" s="1"/>
  <c r="AN21" i="130" l="1"/>
  <c r="AN22" i="130" s="1"/>
  <c r="BD20" i="130" l="1"/>
  <c r="BD21" i="130" s="1"/>
  <c r="BA20" i="130"/>
  <c r="BA21" i="130" s="1"/>
  <c r="BM6" i="130"/>
  <c r="AU20" i="130"/>
  <c r="AU21" i="130" s="1"/>
  <c r="BM7" i="130" l="1"/>
  <c r="BZ23" i="130"/>
  <c r="BZ24" i="130" s="1"/>
  <c r="BM37" i="130" l="1"/>
  <c r="BM38" i="130" s="1"/>
  <c r="AX20" i="130" l="1"/>
  <c r="AX21" i="130" s="1"/>
  <c r="BH6" i="130"/>
  <c r="BH7" i="130" s="1"/>
  <c r="BP6" i="130"/>
  <c r="BP7" i="130" s="1"/>
  <c r="AE35" i="130" l="1"/>
  <c r="AE36" i="130" s="1"/>
  <c r="AD35" i="130"/>
  <c r="AD36" i="130" l="1"/>
  <c r="R11" i="130"/>
  <c r="Q11" i="130" s="1"/>
  <c r="BK6" i="130" l="1"/>
  <c r="BK7" i="130" s="1"/>
  <c r="BI6" i="130"/>
  <c r="BI7" i="130" s="1"/>
  <c r="BJ6" i="130"/>
  <c r="BJ7" i="130" l="1"/>
  <c r="AO21" i="130"/>
  <c r="AO22" i="130" s="1"/>
  <c r="AQ21" i="130"/>
  <c r="AQ22" i="130" s="1"/>
  <c r="BW6" i="130" l="1"/>
  <c r="AS21" i="130"/>
  <c r="AS22" i="130" s="1"/>
  <c r="AV20" i="130"/>
  <c r="BW7" i="130" l="1"/>
  <c r="R9" i="130" s="1"/>
  <c r="Q9" i="130" s="1"/>
  <c r="AV21" i="130"/>
  <c r="R1" i="130" s="1"/>
  <c r="Q1" i="130" s="1"/>
  <c r="AY20" i="130"/>
  <c r="AY21" i="130" s="1"/>
  <c r="R2" i="130" s="1"/>
  <c r="Q2" i="130" s="1"/>
  <c r="BB20" i="130"/>
  <c r="BB21" i="130" s="1"/>
  <c r="R3" i="130" s="1"/>
  <c r="Q3" i="130" s="1"/>
  <c r="BE20" i="130"/>
  <c r="BE21" i="130" l="1"/>
  <c r="R4" i="130" s="1"/>
  <c r="Q4" i="130" s="1"/>
  <c r="AU6" i="130"/>
  <c r="AU7" i="130" s="1"/>
  <c r="R5" i="130" s="1"/>
  <c r="Q5" i="130" s="1"/>
  <c r="BE6" i="130"/>
  <c r="BE7" i="130" s="1"/>
  <c r="BG6" i="130"/>
  <c r="BG7" i="130" s="1"/>
  <c r="BN6" i="130"/>
  <c r="BN7" i="130" s="1"/>
  <c r="R6" i="130" l="1"/>
  <c r="Q6" i="130" s="1"/>
  <c r="BQ6" i="130"/>
  <c r="BQ7" i="130" l="1"/>
  <c r="R7" i="130" s="1"/>
  <c r="Q7" i="130" s="1"/>
  <c r="BV6" i="130"/>
  <c r="BV7" i="130" s="1"/>
  <c r="CF15" i="130"/>
  <c r="CF16" i="130"/>
  <c r="CF17" i="130"/>
  <c r="CF18" i="130"/>
  <c r="CF19" i="130"/>
  <c r="CF20" i="130"/>
  <c r="CF21" i="130"/>
  <c r="CF22" i="130"/>
  <c r="CF23" i="130"/>
  <c r="CF24" i="130"/>
  <c r="CF25" i="130"/>
  <c r="CF26" i="130"/>
  <c r="CD27" i="130"/>
  <c r="CD28" i="130" s="1"/>
  <c r="CF27" i="130" l="1"/>
  <c r="CF28" i="130" s="1"/>
  <c r="CH15" i="130"/>
  <c r="CI15" i="130"/>
  <c r="CH16" i="130"/>
  <c r="CI16" i="130"/>
  <c r="CH17" i="130"/>
  <c r="CI17" i="130"/>
  <c r="CH18" i="130"/>
  <c r="CI18" i="130"/>
  <c r="CH19" i="130"/>
  <c r="CI19" i="130"/>
  <c r="CH20" i="130"/>
  <c r="CI20" i="130"/>
  <c r="CH21" i="130"/>
  <c r="CI21" i="130"/>
  <c r="CH22" i="130"/>
  <c r="CI22" i="130"/>
  <c r="CH23" i="130"/>
  <c r="CI23" i="130"/>
  <c r="CH24" i="130"/>
  <c r="CI24" i="130"/>
  <c r="CH25" i="130"/>
  <c r="CI25" i="130"/>
  <c r="CH26" i="130"/>
  <c r="CI26" i="130"/>
  <c r="R16" i="130" l="1"/>
  <c r="Q16" i="130" s="1"/>
  <c r="BC20" i="130"/>
  <c r="BC21" i="130" l="1"/>
  <c r="R10" i="130"/>
  <c r="Q10" i="130" s="1"/>
  <c r="AH1" i="130"/>
  <c r="AI1" i="130"/>
  <c r="AJ1" i="130"/>
  <c r="AT1" i="130"/>
  <c r="AW1" i="130"/>
  <c r="AX1" i="130"/>
  <c r="AZ1" i="130"/>
  <c r="BA1" i="130"/>
  <c r="BB1" i="130"/>
  <c r="BD1" i="130"/>
  <c r="BX1" i="130"/>
  <c r="BY1" i="130"/>
  <c r="BZ1" i="130"/>
  <c r="CC1" i="130"/>
  <c r="CD1" i="130"/>
  <c r="AH2" i="130"/>
  <c r="AI2" i="130"/>
  <c r="AJ2" i="130"/>
  <c r="AT2" i="130"/>
  <c r="AW2" i="130"/>
  <c r="AX2" i="130"/>
  <c r="AZ2" i="130"/>
  <c r="BA2" i="130"/>
  <c r="BB2" i="130"/>
  <c r="BD2" i="130"/>
  <c r="BX2" i="130"/>
  <c r="BY2" i="130"/>
  <c r="BZ2" i="130"/>
  <c r="CC2" i="130"/>
  <c r="CD2" i="130"/>
  <c r="AH3" i="130"/>
  <c r="AI3" i="130"/>
  <c r="AJ3" i="130"/>
  <c r="AT3" i="130"/>
  <c r="AW3" i="130"/>
  <c r="AX3" i="130"/>
  <c r="AZ3" i="130"/>
  <c r="BA3" i="130"/>
  <c r="BB3" i="130"/>
  <c r="BD3" i="130"/>
  <c r="BX3" i="130"/>
  <c r="BY3" i="130"/>
  <c r="BZ3" i="130"/>
  <c r="CC3" i="130"/>
  <c r="CD3" i="130"/>
  <c r="AH4" i="130"/>
  <c r="AI4" i="130"/>
  <c r="AJ4" i="130"/>
  <c r="AT4" i="130"/>
  <c r="AW4" i="130"/>
  <c r="AX4" i="130"/>
  <c r="AZ4" i="130"/>
  <c r="BA4" i="130"/>
  <c r="BB4" i="130"/>
  <c r="BD4" i="130"/>
  <c r="BX4" i="130"/>
  <c r="BY4" i="130"/>
  <c r="BZ4" i="130"/>
  <c r="CC4" i="130"/>
  <c r="CD4" i="130"/>
  <c r="AH5" i="130"/>
  <c r="AI5" i="130"/>
  <c r="AJ5" i="130"/>
  <c r="AM5" i="130"/>
  <c r="AN5" i="130"/>
  <c r="AO5" i="130"/>
  <c r="AQ5" i="130"/>
  <c r="AR5" i="130"/>
  <c r="AS5" i="130"/>
  <c r="AT5" i="130"/>
  <c r="AW5" i="130"/>
  <c r="AX5" i="130"/>
  <c r="AZ5" i="130"/>
  <c r="BA5" i="130"/>
  <c r="BB5" i="130"/>
  <c r="BD5" i="130"/>
  <c r="BX5" i="130"/>
  <c r="BY5" i="130"/>
  <c r="BZ5" i="130"/>
  <c r="CC5" i="130"/>
  <c r="CD5" i="130"/>
  <c r="AH6" i="130"/>
  <c r="AI6" i="130"/>
  <c r="AJ6" i="130"/>
  <c r="AM6" i="130"/>
  <c r="AN6" i="130"/>
  <c r="AO6" i="130"/>
  <c r="AQ6" i="130"/>
  <c r="AR6" i="130"/>
  <c r="AS6" i="130"/>
  <c r="AT6" i="130"/>
  <c r="AW6" i="130"/>
  <c r="AX6" i="130"/>
  <c r="AZ6" i="130"/>
  <c r="BA6" i="130"/>
  <c r="BB6" i="130"/>
  <c r="BD6" i="130"/>
  <c r="AH7" i="130"/>
  <c r="AI7" i="130"/>
  <c r="AJ7" i="130"/>
  <c r="AM7" i="130"/>
  <c r="AN7" i="130"/>
  <c r="AO7" i="130"/>
  <c r="AQ7" i="130"/>
  <c r="AR7" i="130"/>
  <c r="AS7" i="130"/>
  <c r="AT7" i="130"/>
  <c r="AW7" i="130"/>
  <c r="AX7" i="130"/>
  <c r="AZ7" i="130"/>
  <c r="BA7" i="130"/>
  <c r="BB7" i="130"/>
  <c r="BD7" i="130"/>
  <c r="AH8" i="130"/>
  <c r="AI8" i="130"/>
  <c r="AJ8" i="130"/>
  <c r="AM8" i="130"/>
  <c r="AN8" i="130"/>
  <c r="AO8" i="130"/>
  <c r="AQ8" i="130"/>
  <c r="AR8" i="130"/>
  <c r="AS8" i="130"/>
  <c r="BG8" i="130"/>
  <c r="BJ8" i="130"/>
  <c r="BK8" i="130"/>
  <c r="BM8" i="130"/>
  <c r="BN8" i="130"/>
  <c r="BO8" i="130"/>
  <c r="BQ8" i="130"/>
  <c r="BG9" i="130"/>
  <c r="BJ9" i="130"/>
  <c r="BK9" i="130"/>
  <c r="BM9" i="130"/>
  <c r="BN9" i="130"/>
  <c r="BO9" i="130"/>
  <c r="BQ9" i="130"/>
  <c r="BG10" i="130"/>
  <c r="BJ10" i="130"/>
  <c r="BK10" i="130"/>
  <c r="BM10" i="130"/>
  <c r="BN10" i="130"/>
  <c r="BO10" i="130"/>
  <c r="BQ10" i="130"/>
  <c r="BG11" i="130"/>
  <c r="BJ11" i="130"/>
  <c r="BK11" i="130"/>
  <c r="BM11" i="130"/>
  <c r="BN11" i="130"/>
  <c r="BO11" i="130"/>
  <c r="BQ11" i="130"/>
  <c r="Q12" i="130"/>
  <c r="R12" i="130"/>
  <c r="BG12" i="130"/>
  <c r="BJ12" i="130"/>
  <c r="BK12" i="130"/>
  <c r="BM12" i="130"/>
  <c r="BN12" i="130"/>
  <c r="BO12" i="130"/>
  <c r="BQ12" i="130"/>
  <c r="Q13" i="130"/>
  <c r="R13" i="130"/>
  <c r="BG13" i="130"/>
  <c r="BJ13" i="130"/>
  <c r="BK13" i="130"/>
  <c r="BM13" i="130"/>
  <c r="BN13" i="130"/>
  <c r="BO13" i="130"/>
  <c r="BQ13" i="130"/>
  <c r="Q14" i="130"/>
  <c r="R14" i="130"/>
  <c r="BG14" i="130"/>
  <c r="BJ14" i="130"/>
  <c r="BK14" i="130"/>
  <c r="BM14" i="130"/>
  <c r="BN14" i="130"/>
  <c r="BO14" i="130"/>
  <c r="BQ14" i="130"/>
  <c r="M15" i="130"/>
  <c r="N15" i="130"/>
  <c r="O15" i="130"/>
  <c r="Q15" i="130"/>
  <c r="R15" i="130"/>
  <c r="BS15" i="130"/>
  <c r="BT15" i="130"/>
  <c r="BU15" i="130"/>
  <c r="BX15" i="130"/>
  <c r="BY15" i="130"/>
  <c r="BZ15" i="130"/>
  <c r="CB15" i="130"/>
  <c r="CC15" i="130"/>
  <c r="M16" i="130"/>
  <c r="N16" i="130"/>
  <c r="O16" i="130"/>
  <c r="BS16" i="130"/>
  <c r="BT16" i="130"/>
  <c r="BU16" i="130"/>
  <c r="BX16" i="130"/>
  <c r="BY16" i="130"/>
  <c r="BZ16" i="130"/>
  <c r="CB16" i="130"/>
  <c r="CC16" i="130"/>
  <c r="M17" i="130"/>
  <c r="N17" i="130"/>
  <c r="O17" i="130"/>
  <c r="Q17" i="130"/>
  <c r="R17" i="130"/>
  <c r="BS17" i="130"/>
  <c r="BT17" i="130"/>
  <c r="BU17" i="130"/>
  <c r="BX17" i="130"/>
  <c r="BY17" i="130"/>
  <c r="BZ17" i="130"/>
  <c r="CB17" i="130"/>
  <c r="CC17" i="130"/>
  <c r="M18" i="130"/>
  <c r="N18" i="130"/>
  <c r="O18" i="130"/>
  <c r="Q18" i="130"/>
  <c r="R18" i="130"/>
  <c r="BS18" i="130"/>
  <c r="BT18" i="130"/>
  <c r="BU18" i="130"/>
  <c r="BX18" i="130"/>
  <c r="BY18" i="130"/>
  <c r="BZ18" i="130"/>
  <c r="CB18" i="130"/>
  <c r="CC18" i="130"/>
  <c r="M19" i="130"/>
  <c r="N19" i="130"/>
  <c r="O19" i="130"/>
  <c r="Q19" i="130"/>
  <c r="R19" i="130"/>
  <c r="BS19" i="130"/>
  <c r="BT19" i="130"/>
  <c r="BU19" i="130"/>
  <c r="BX19" i="130"/>
  <c r="BY19" i="130"/>
  <c r="BZ19" i="130"/>
  <c r="CB19" i="130"/>
  <c r="CC19" i="130"/>
  <c r="M20" i="130"/>
  <c r="N20" i="130"/>
  <c r="O20" i="130"/>
  <c r="BT20" i="130"/>
  <c r="BU20" i="130"/>
  <c r="BV20" i="130"/>
  <c r="BW20" i="130"/>
  <c r="BX20" i="130"/>
  <c r="BY20" i="130"/>
  <c r="CA20" i="130"/>
  <c r="CB20" i="130"/>
  <c r="M21" i="130"/>
  <c r="N21" i="130"/>
  <c r="O21" i="130"/>
  <c r="BT21" i="130"/>
  <c r="BU21" i="130"/>
  <c r="BV21" i="130"/>
  <c r="BW21" i="130"/>
  <c r="BX21" i="130"/>
  <c r="BY21" i="130"/>
  <c r="CA21" i="130"/>
  <c r="CB21" i="130"/>
  <c r="M22" i="130"/>
  <c r="N22" i="130"/>
  <c r="O22" i="130"/>
  <c r="BT22" i="130"/>
  <c r="BU22" i="130"/>
  <c r="BV22" i="130"/>
  <c r="BW22" i="130"/>
  <c r="BX22" i="130"/>
  <c r="BY22" i="130"/>
  <c r="CA22" i="130"/>
  <c r="CB22" i="130"/>
  <c r="M23" i="130"/>
  <c r="N23" i="130"/>
  <c r="O23" i="130"/>
  <c r="AG23" i="130"/>
  <c r="AH23" i="130"/>
  <c r="AI23" i="130"/>
  <c r="BT23" i="130"/>
  <c r="BU23" i="130"/>
  <c r="BV23" i="130"/>
  <c r="BW23" i="130"/>
  <c r="BX23" i="130"/>
  <c r="BY23" i="130"/>
  <c r="CA23" i="130"/>
  <c r="CB23" i="130"/>
  <c r="M24" i="130"/>
  <c r="N24" i="130"/>
  <c r="O24" i="130"/>
  <c r="AG24" i="130"/>
  <c r="AH24" i="130"/>
  <c r="AI24" i="130"/>
  <c r="BT24" i="130"/>
  <c r="BU24" i="130"/>
  <c r="BV24" i="130"/>
  <c r="BW24" i="130"/>
  <c r="BX24" i="130"/>
  <c r="BY24" i="130"/>
  <c r="CA24" i="130"/>
  <c r="CB24" i="130"/>
  <c r="M25" i="130"/>
  <c r="N25" i="130"/>
  <c r="O25" i="130"/>
  <c r="AG25" i="130"/>
  <c r="AH25" i="130"/>
  <c r="AI25" i="130"/>
  <c r="BK25" i="130"/>
  <c r="BL25" i="130"/>
  <c r="BN25" i="130"/>
  <c r="BO25" i="130"/>
  <c r="BP25" i="130"/>
  <c r="BQ25" i="130"/>
  <c r="BT25" i="130"/>
  <c r="BU25" i="130"/>
  <c r="BV25" i="130"/>
  <c r="BW25" i="130"/>
  <c r="BX25" i="130"/>
  <c r="M26" i="130"/>
  <c r="N26" i="130"/>
  <c r="O26" i="130"/>
  <c r="AG26" i="130"/>
  <c r="AH26" i="130"/>
  <c r="AI26" i="130"/>
  <c r="BK26" i="130"/>
  <c r="BL26" i="130"/>
  <c r="BN26" i="130"/>
  <c r="BO26" i="130"/>
  <c r="BP26" i="130"/>
  <c r="BQ26" i="130"/>
  <c r="BT26" i="130"/>
  <c r="BU26" i="130"/>
  <c r="BV26" i="130"/>
  <c r="BW26" i="130"/>
  <c r="BX26" i="130"/>
  <c r="M27" i="130"/>
  <c r="N27" i="130"/>
  <c r="O27" i="130"/>
  <c r="AG27" i="130"/>
  <c r="AH27" i="130"/>
  <c r="AI27" i="130"/>
  <c r="BK27" i="130"/>
  <c r="BL27" i="130"/>
  <c r="BN27" i="130"/>
  <c r="BO27" i="130"/>
  <c r="BP27" i="130"/>
  <c r="BQ27" i="130"/>
  <c r="BT27" i="130"/>
  <c r="BU27" i="130"/>
  <c r="BV27" i="130"/>
  <c r="BW27" i="130"/>
  <c r="BX27" i="130"/>
  <c r="M28" i="130"/>
  <c r="N28" i="130"/>
  <c r="O28" i="130"/>
  <c r="AG28" i="130"/>
  <c r="AH28" i="130"/>
  <c r="AI28" i="130"/>
  <c r="BK28" i="130"/>
  <c r="BL28" i="130"/>
  <c r="BN28" i="130"/>
  <c r="BO28" i="130"/>
  <c r="BP28" i="130"/>
  <c r="BQ28" i="130"/>
  <c r="BT28" i="130"/>
  <c r="BU28" i="130"/>
  <c r="BV28" i="130"/>
  <c r="BW28" i="130"/>
  <c r="BX28" i="130"/>
  <c r="AG29" i="130"/>
  <c r="AH29" i="130"/>
  <c r="AI29" i="130"/>
  <c r="BK29" i="130"/>
  <c r="BL29" i="130"/>
  <c r="BN29" i="130"/>
  <c r="BO29" i="130"/>
  <c r="BP29" i="130"/>
  <c r="BQ29" i="130"/>
  <c r="BT29" i="130"/>
  <c r="BU29" i="130"/>
  <c r="BV29" i="130"/>
  <c r="BW29" i="130"/>
  <c r="BX29" i="130"/>
  <c r="AG30" i="130"/>
  <c r="AH30" i="130"/>
  <c r="AI30" i="130"/>
  <c r="BL30" i="130"/>
  <c r="BN30" i="130"/>
  <c r="BO30" i="130"/>
  <c r="BP30" i="130"/>
  <c r="BQ30" i="130"/>
  <c r="BT30" i="130"/>
  <c r="BU30" i="130"/>
  <c r="BV30" i="130"/>
  <c r="BW30" i="130"/>
  <c r="BX30" i="130"/>
  <c r="BL31" i="130"/>
  <c r="BN31" i="130"/>
  <c r="BO31" i="130"/>
  <c r="BP31" i="130"/>
  <c r="BQ31" i="130"/>
  <c r="BT31" i="130"/>
  <c r="BU31" i="130"/>
  <c r="BV31" i="130"/>
  <c r="BW31" i="130"/>
  <c r="BX31" i="130"/>
  <c r="BL32" i="130"/>
  <c r="BN32" i="130"/>
  <c r="BO32" i="130"/>
  <c r="BP32" i="130"/>
  <c r="BQ32" i="130"/>
  <c r="BT32" i="130"/>
  <c r="BU32" i="130"/>
  <c r="BV32" i="130"/>
  <c r="BW32" i="130"/>
  <c r="BX32" i="130"/>
  <c r="BL33" i="130"/>
  <c r="BN33" i="130"/>
  <c r="BO33" i="130"/>
  <c r="BP33" i="130"/>
  <c r="BQ33" i="130"/>
  <c r="BT33" i="130"/>
  <c r="BU33" i="130"/>
  <c r="BV33" i="130"/>
  <c r="BW33" i="130"/>
  <c r="BX33" i="130"/>
  <c r="BK34" i="130"/>
  <c r="BL34" i="130"/>
  <c r="BN34" i="130"/>
  <c r="BO34" i="130"/>
  <c r="BP34" i="130"/>
  <c r="BQ34" i="130"/>
  <c r="AG35" i="130"/>
  <c r="AH35" i="130"/>
  <c r="AI35" i="130"/>
  <c r="BK35" i="130"/>
  <c r="BL35" i="130"/>
  <c r="BN35" i="130"/>
  <c r="BO35" i="130"/>
  <c r="BP35" i="130"/>
  <c r="BQ35" i="130"/>
  <c r="AG36" i="130"/>
  <c r="AH36" i="130"/>
  <c r="AI36" i="130"/>
  <c r="BK36" i="130"/>
  <c r="BL36" i="130"/>
  <c r="BN36" i="130"/>
  <c r="BO36" i="130"/>
  <c r="BP36" i="130"/>
  <c r="BQ36" i="130"/>
  <c r="BK37" i="130"/>
  <c r="BL37" i="130"/>
  <c r="BN37" i="130"/>
  <c r="BK38" i="130"/>
  <c r="BL38" i="130"/>
  <c r="BN38" i="130"/>
</calcChain>
</file>

<file path=xl/sharedStrings.xml><?xml version="1.0" encoding="utf-8"?>
<sst xmlns="http://schemas.openxmlformats.org/spreadsheetml/2006/main" count="777" uniqueCount="106">
  <si>
    <t>-</t>
  </si>
  <si>
    <t>Yok</t>
  </si>
  <si>
    <t>Kıdem Yardımı</t>
  </si>
  <si>
    <t>Resmi Tatillerde Çalışma</t>
  </si>
  <si>
    <t>SGK Prim Kesintisi</t>
  </si>
  <si>
    <t>SGK İşsizlik Primi Kesintisi</t>
  </si>
  <si>
    <t>Yemek Yardımı</t>
  </si>
  <si>
    <t>Sosyal Yardım</t>
  </si>
  <si>
    <t>Evlilik Yardımı</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</si>
  <si>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</si>
  <si>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</si>
  <si>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</si>
  <si>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</si>
  <si>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</si>
  <si>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</si>
  <si>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</si>
  <si>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</si>
  <si>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</si>
  <si>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</si>
  <si>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</si>
  <si>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</si>
  <si>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</si>
  <si>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</si>
  <si>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</si>
  <si>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</si>
  <si>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</si>
  <si>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</si>
  <si>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</si>
  <si>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</si>
  <si>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Normal Çalışma</t>
  </si>
  <si>
    <t>BES Kesintisi</t>
  </si>
  <si>
    <t>Damga Vergisi Kesintisi</t>
  </si>
  <si>
    <t>Gelir Vergisi Kesintisi</t>
  </si>
  <si>
    <t>İkramiye Yardımı</t>
  </si>
  <si>
    <t>İş Kazası veya Meslek Hastalığı Tazminatı</t>
  </si>
  <si>
    <t>Nakdi Yardımlar</t>
  </si>
  <si>
    <t>Sendika Üyelik Aidatı Kesintisi</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</si>
  <si>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</si>
  <si>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</si>
  <si>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</si>
  <si>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</si>
  <si>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</si>
  <si>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</si>
  <si>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</si>
  <si>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</si>
  <si>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</si>
  <si>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</si>
  <si>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a) İşçinin ikamet ettiği konutun doğal afet nedeniyle hasara uğraması hâlinde 10 iş günü ücretli sosyal izin verilir.</t>
  </si>
  <si>
    <t>a) İşçinin evlenmesi hâlinde 7 iş günü ücretli sosyal izin verilir.
b) İşçinin çocuğunun evlenmesi hâlinde 0 iş günü ücretli sosyal izin verilir.
c) İşçinin evliliğinde, evlilik izninin hangi şekilde kullanılacağı işçinin talebi doğrultusunda değerlendirilir.</t>
  </si>
  <si>
    <t>a) İşçinin eşinin veya çocuğunun vefatı hâlinde 5 iş günü ücretli sosyal izin verilir.
b) İşçinin annesinin, babasının veya kardeşinin vefatı hâlinde 5 iş günü ücretli sosyal izin verilir.
c) İşçinin eşinin annesinin, babasının veya kardeşinin vefatı hâlinde 5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5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</si>
  <si>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Fazla Çalışma (Gündüz / Gece)</t>
  </si>
  <si>
    <t>Yıllık Toplam</t>
  </si>
  <si>
    <t>Yıllık Ortalama</t>
  </si>
  <si>
    <t xml:space="preserve">   Kıdem Yardımı</t>
  </si>
  <si>
    <t xml:space="preserve">   Fazla Çalışma
   (Gündüz / Gece)</t>
  </si>
  <si>
    <t xml:space="preserve">   Yemek Yardımı</t>
  </si>
  <si>
    <t xml:space="preserve">   Nakdi Yardımlar
   Sürekliliği Olmayan Yardımlar</t>
  </si>
  <si>
    <t xml:space="preserve">   Kesintiler / Özel
   BES Kesintisi</t>
  </si>
  <si>
    <t>Cenaze Yardımı (Anne-Baba)</t>
  </si>
  <si>
    <t>Cenaze Yardımı (Eş-Çocuk)</t>
  </si>
  <si>
    <t>Cenaze Yardımı (İşçi-Tabii Sebepler Sonucu)</t>
  </si>
  <si>
    <t>Eğitim Yardımı (Çocuk-İlköğretim)</t>
  </si>
  <si>
    <t>Eğitim Yardımı (Çocuk-Ortaöğretim)</t>
  </si>
  <si>
    <t>Eğitim Yardımı (Çocuk-Lise)</t>
  </si>
  <si>
    <t>Eğitim Yardımı (Çocuk-Yükseköğretim)</t>
  </si>
  <si>
    <t xml:space="preserve">   Toplam Kazanç
   Net</t>
  </si>
  <si>
    <t>İşveren Maliyeti</t>
  </si>
  <si>
    <t xml:space="preserve">   Resmi Tatillerde Çalışma
   (Saat Hesabı)</t>
  </si>
  <si>
    <r>
      <t xml:space="preserve">   Sonraki Ayın 1'inde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</si>
  <si>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</si>
  <si>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t>1S-Kaptan-Lise</t>
  </si>
  <si>
    <t>1S-Baş Makinist-Lise</t>
  </si>
  <si>
    <t>2S-Kaptan-Lise</t>
  </si>
  <si>
    <t>2S-Baş Makinist-Lise</t>
  </si>
  <si>
    <t>2S-Usta Gemici-Lise</t>
  </si>
  <si>
    <t>2S-Yağcı-Lise</t>
  </si>
  <si>
    <r>
      <t xml:space="preserve">   Sonraki Ayın 15'inde
   Fazla Çalışma (Gündüz / Gece)
   Resmi Tatillerde Çalışma
   Yemek Yardımı
   </t>
    </r>
    <r>
      <rPr>
        <b/>
        <sz val="16"/>
        <rFont val="Calibri"/>
        <family val="2"/>
        <charset val="162"/>
        <scheme val="minor"/>
      </rPr>
      <t>Net</t>
    </r>
  </si>
  <si>
    <t>Miktar</t>
  </si>
  <si>
    <t>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t>
  </si>
  <si>
    <t>a) Gemiadamı, dilerse, işveren veya işveren vekilinden ücretli izne ilişkin olarak 7 güne kadar ücretsiz yol izni de isteyebilir.
(854 sayılı Deniz İş Kanunu / Madde 40)</t>
  </si>
  <si>
    <t>1S-Kaptan-Üniversite</t>
  </si>
  <si>
    <t>1S-Kaptan-MYO</t>
  </si>
  <si>
    <t>1S-Baş Makinist-Üniversite</t>
  </si>
  <si>
    <t>1S-Baş Makinist-MYO</t>
  </si>
  <si>
    <t>2S-Kaptan-Üniversite</t>
  </si>
  <si>
    <t>2S-Kaptan-MYO</t>
  </si>
  <si>
    <t>2S-Baş Makinist-Üniversite</t>
  </si>
  <si>
    <t>2S-Baş Makinist-MYO</t>
  </si>
  <si>
    <t>2S-İkinci Kaptan-Üniversite</t>
  </si>
  <si>
    <t>2S-İkinci Kaptan-MYO</t>
  </si>
  <si>
    <t>2S-İkinci Kaptan-Lise</t>
  </si>
  <si>
    <t>2S-Usta Gemici-Üniversite</t>
  </si>
  <si>
    <t>2S-Usta Gemici-MYO</t>
  </si>
  <si>
    <t>2S-Yağcı-Üniversite</t>
  </si>
  <si>
    <t>2S-Yağcı-MYO</t>
  </si>
  <si>
    <t xml:space="preserve">   İdari Sorumluluk Primi
   Kaptan
   (Her Ay)</t>
  </si>
  <si>
    <t xml:space="preserve">   Görev Primi
   3000 GRT / KW Kaptan, Baş Makinist
   (Her Ay)</t>
  </si>
  <si>
    <t>Görev Primi</t>
  </si>
  <si>
    <t>İdari Sorumluluk Primi</t>
  </si>
  <si>
    <t>a) İşçilere, gerekli ve geçerli mazeretleri hâlinde işverenin takdirine bağlı olarak yılda 7 iş günü ücretli sosyal izin verilir.
b) İşçilere, gerekli ve geçerli mazeretleri hâlinde işverenin takdirine bağlı olarak yılda 90 takvim gününe kadar ücretsiz sosyal izin verilebilir.</t>
  </si>
  <si>
    <t>a) İşyerinde işçi sayısı 50’ye kadar ise yıllık en fazla 20 iş günü ücretli izin verilir.
İşyerinde işçi sayısı 51 ile 100 arasında ise yıllık en fazla 30 iş günü ücretli izin verilir.
İşyerinde işçi sayısı 101 ile 200 arasında ise yıllık en fazla 40 iş günü ücretli izin verilir.
İşyerinde işçi sayısı 201 ile 500 arasında ise yıllık en fazla 60 iş günü ücretli izin verilir.
İşyerinde işçi sayısı 501 ile 1000 arasında ise yıllık en fazla 80 iş günü ücretli izin verilir.
İşyerinde işçi sayısı 1000 işçiden fazla ise yıllık en fazla işçi sayısının % 10'u kadar iş günü ücretli sendikal izin verilir.
(8. Dönem Toplu İş Sözleşmesi / Madde 36)
b) Sendikal faaliyetler için sendikanın yazılı talebi üzerine ve işverenin hizmetlerini aksatmamak suretiyle, işçilere ayrı ayrı olmadan çalışan kişi sayısı karşılığına gelen gün kadar yıllık ücretli sendikal izin verilir.
c) Temsilcilik görevlerini yerine getirmeleri için baştemsilciye haftada 1 gün, diğer temsilcilere ayda 1’er gün ücretli sendikal izin verilir.
d) Toplu iş sözleşmesi yapmak üzere yetkisi kesinleşen sendika; 
işyerinde işçi sayısı 50’ye kadar ise 1,
51 ile 100 arasında ise en çok 2,
101 ile 500 arasında ise en çok 3,
501 ile 1000 arasında ise en çok 4,
1001 ile 2000 arasında ise en çok 6,
2000’den fazla ise en çok 8 işyeri sendika temsilcisini işyerinde çalışan üyeleri arasından atayarak 15 gün içinde kimliklerini işverene bildirir. Bunlardan biri baş temsilci olarak görevlendirilebilir. Temsilcilerin görevi, sendikanın yetkisi süresince devam eder.
(6356 sayılı Sendikalar ve Toplu İş Sözleşmesi Kanunu / Madde 27)</t>
  </si>
  <si>
    <r>
      <t xml:space="preserve">a) Kadın işçilerin </t>
    </r>
    <r>
      <rPr>
        <b/>
        <sz val="16"/>
        <color theme="0" tint="-0.14999847407452621"/>
        <rFont val="Calibri"/>
        <family val="2"/>
        <charset val="162"/>
        <scheme val="minor"/>
      </rPr>
      <t>doğumdan önce 8 ve doğumdan sonra 8 hafta</t>
    </r>
    <r>
      <rPr>
        <sz val="16"/>
        <color theme="0" tint="-0.14999847407452621"/>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</si>
  <si>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tint="-0.14999847407452621"/>
        <rFont val="Calibri"/>
        <family val="2"/>
        <charset val="162"/>
        <scheme val="minor"/>
      </rPr>
      <t>bir yıl içinde toptan veya bölümler hâlinde 10 güne kadar</t>
    </r>
    <r>
      <rPr>
        <sz val="16"/>
        <color theme="0" tint="-0.14999847407452621"/>
        <rFont val="Calibri"/>
        <family val="2"/>
        <charset val="162"/>
        <scheme val="minor"/>
      </rPr>
      <t xml:space="preserve"> ücretli izin verilir.
(4857 sayılı İş Kanunu / Ek Madde 2)</t>
    </r>
  </si>
  <si>
    <r>
      <t xml:space="preserve">a) İşçiye; evlat edinmesi hâlinde </t>
    </r>
    <r>
      <rPr>
        <b/>
        <sz val="16"/>
        <color theme="0" tint="-0.14999847407452621"/>
        <rFont val="Calibri"/>
        <family val="2"/>
        <charset val="162"/>
        <scheme val="minor"/>
      </rPr>
      <t>3 gün</t>
    </r>
    <r>
      <rPr>
        <sz val="16"/>
        <color theme="0" tint="-0.14999847407452621"/>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</si>
  <si>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tint="-0.14999847407452621"/>
        <rFont val="Calibri"/>
        <family val="2"/>
        <charset val="162"/>
        <scheme val="minor"/>
      </rPr>
      <t>günde 2 saatten az olamaz</t>
    </r>
    <r>
      <rPr>
        <sz val="16"/>
        <color theme="0" tint="-0.14999847407452621"/>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</si>
  <si>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tint="-0.14999847407452621"/>
        <rFont val="Calibri"/>
        <family val="2"/>
        <charset val="162"/>
        <scheme val="minor"/>
      </rPr>
      <t>günde toplam 1,5 saat</t>
    </r>
    <r>
      <rPr>
        <sz val="16"/>
        <color theme="0" tint="-0.14999847407452621"/>
        <rFont val="Calibri"/>
        <family val="2"/>
        <charset val="162"/>
        <scheme val="minor"/>
      </rPr>
      <t xml:space="preserve"> süt izni verilir.
(4857 sayılı İş Kanunu / Madde 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</si>
</sst>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 &quot;Gün&quot;"/>
    <numFmt numFmtId="166" formatCode="#,##0.00\ &quot;₺&quot;"/>
    <numFmt numFmtId="167" formatCode="0.000000"/>
    <numFmt numFmtId="168" formatCode="%\ 0"/>
    <numFmt numFmtId="169" formatCode="%\ 0.00"/>
    <numFmt numFmtId="170" formatCode="General\ &quot;₺&quot;"/>
    <numFmt numFmtId="171" formatCode="0.0000000"/>
    <numFmt numFmtId="172" formatCode="0.0"/>
  </numFmts>
  <fonts count="15"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b/>
      <sz val="16"/>
      <color rgb="FFFF0000"/>
      <name val="Calibri"/>
      <family val="2"/>
      <charset val="162"/>
      <scheme val="minor"/>
    </font>
    <font>
      <sz val="20"/>
      <name val="Calibri"/>
      <family val="2"/>
      <charset val="162"/>
      <scheme val="minor"/>
    </font>
    <font>
      <sz val="20"/>
      <color rgb="FFFF0000"/>
      <name val="Calibri"/>
      <family val="2"/>
      <charset val="162"/>
      <scheme val="minor"/>
    </font>
    <font>
      <sz val="16"/>
      <color theme="0" tint="-0.14999847407452621"/>
      <name val="Calibri"/>
      <family val="2"/>
      <charset val="162"/>
      <scheme val="minor"/>
    </font>
    <font>
      <b/>
      <sz val="16"/>
      <color theme="0" tint="-0.14999847407452621"/>
      <name val="Calibri"/>
      <family val="2"/>
      <charset val="162"/>
      <scheme val="minor"/>
    </font>
    <font>
      <sz val="16"/>
      <color theme="0"/>
      <name val="Calibri"/>
      <family val="2"/>
      <charset val="162"/>
      <scheme val="minor"/>
    </font>
    <font>
      <sz val="16"/>
      <color theme="0"/>
      <name val="Calibri"/>
      <family val="2"/>
      <charset val="162"/>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74">
    <xf numFmtId="0" fontId="0" fillId="0" borderId="0" xfId="0"/>
    <xf numFmtId="0" fontId="5" fillId="0" borderId="0" xfId="2" applyFont="1" applyFill="1" applyAlignment="1" applyProtection="1">
      <alignment horizontal="center" vertical="center"/>
      <protection hidden="1"/>
    </xf>
    <xf numFmtId="0" fontId="5" fillId="0" borderId="0" xfId="2" applyFont="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168" fontId="5" fillId="2" borderId="1" xfId="2" applyNumberFormat="1" applyFont="1" applyFill="1" applyBorder="1" applyAlignment="1" applyProtection="1">
      <alignment horizontal="center" vertical="center"/>
      <protection hidden="1"/>
    </xf>
    <xf numFmtId="2" fontId="6" fillId="2" borderId="1" xfId="0" applyNumberFormat="1" applyFont="1" applyFill="1" applyBorder="1" applyAlignment="1" applyProtection="1">
      <alignment horizontal="center" vertical="center"/>
      <protection hidden="1"/>
    </xf>
    <xf numFmtId="166" fontId="6" fillId="4" borderId="1" xfId="2" applyNumberFormat="1" applyFont="1" applyFill="1" applyBorder="1" applyAlignment="1" applyProtection="1">
      <alignment horizontal="center" vertical="center"/>
      <protection hidden="1"/>
    </xf>
    <xf numFmtId="166" fontId="8" fillId="4" borderId="1" xfId="2" applyNumberFormat="1" applyFont="1" applyFill="1" applyBorder="1" applyAlignment="1" applyProtection="1">
      <alignment horizontal="center" vertical="center"/>
      <protection hidden="1"/>
    </xf>
    <xf numFmtId="4" fontId="5" fillId="2" borderId="1" xfId="2" applyNumberFormat="1" applyFont="1" applyFill="1" applyBorder="1" applyAlignment="1" applyProtection="1">
      <alignment horizontal="center" vertical="center"/>
      <protection hidden="1"/>
    </xf>
    <xf numFmtId="166" fontId="6" fillId="2" borderId="1" xfId="2" applyNumberFormat="1" applyFont="1" applyFill="1" applyBorder="1" applyAlignment="1" applyProtection="1">
      <alignment horizontal="center" vertical="center"/>
      <protection hidden="1"/>
    </xf>
    <xf numFmtId="166" fontId="8" fillId="2" borderId="1" xfId="2" applyNumberFormat="1" applyFont="1" applyFill="1" applyBorder="1" applyAlignment="1" applyProtection="1">
      <alignment horizontal="center" vertical="center"/>
      <protection hidden="1"/>
    </xf>
    <xf numFmtId="1" fontId="5" fillId="2" borderId="1" xfId="2" applyNumberFormat="1" applyFont="1" applyFill="1" applyBorder="1" applyAlignment="1" applyProtection="1">
      <alignment horizontal="center" vertical="center"/>
      <protection hidden="1"/>
    </xf>
    <xf numFmtId="0" fontId="5" fillId="0" borderId="0" xfId="2" applyFont="1" applyAlignment="1" applyProtection="1">
      <alignment horizontal="right" vertical="center" indent="1"/>
      <protection hidden="1"/>
    </xf>
    <xf numFmtId="2" fontId="5" fillId="5" borderId="1" xfId="2" applyNumberFormat="1" applyFont="1" applyFill="1" applyBorder="1" applyAlignment="1" applyProtection="1">
      <alignment horizontal="center" vertical="center" wrapText="1"/>
      <protection locked="0" hidden="1"/>
    </xf>
    <xf numFmtId="168" fontId="5" fillId="3" borderId="1" xfId="2" applyNumberFormat="1" applyFont="1" applyFill="1" applyBorder="1" applyAlignment="1" applyProtection="1">
      <alignment horizontal="center" vertical="center"/>
      <protection locked="0" hidden="1"/>
    </xf>
    <xf numFmtId="1" fontId="5" fillId="3" borderId="1" xfId="2" applyNumberFormat="1" applyFont="1" applyFill="1" applyBorder="1" applyAlignment="1" applyProtection="1">
      <alignment horizontal="center" vertical="center"/>
      <protection locked="0" hidden="1"/>
    </xf>
    <xf numFmtId="172" fontId="5" fillId="3" borderId="1" xfId="3" applyNumberFormat="1" applyFont="1" applyFill="1" applyBorder="1" applyAlignment="1" applyProtection="1">
      <alignment horizontal="center" vertical="center"/>
      <protection locked="0" hidden="1"/>
    </xf>
    <xf numFmtId="172" fontId="5" fillId="2" borderId="1" xfId="2" applyNumberFormat="1" applyFont="1" applyFill="1" applyBorder="1" applyAlignment="1" applyProtection="1">
      <alignment horizontal="center" vertical="center"/>
      <protection hidden="1"/>
    </xf>
    <xf numFmtId="0" fontId="11" fillId="2" borderId="0" xfId="2" applyFont="1" applyFill="1" applyBorder="1" applyAlignment="1" applyProtection="1">
      <alignment horizontal="center" vertical="center" wrapText="1"/>
      <protection hidden="1"/>
    </xf>
    <xf numFmtId="166" fontId="11" fillId="2" borderId="0" xfId="2" applyNumberFormat="1" applyFont="1" applyFill="1" applyBorder="1" applyAlignment="1" applyProtection="1">
      <alignment horizontal="center" vertical="center" wrapText="1"/>
      <protection hidden="1"/>
    </xf>
    <xf numFmtId="166" fontId="11" fillId="2" borderId="0" xfId="2" applyNumberFormat="1" applyFont="1" applyFill="1" applyBorder="1" applyAlignment="1" applyProtection="1">
      <alignment horizontal="center" vertical="center"/>
      <protection hidden="1"/>
    </xf>
    <xf numFmtId="2" fontId="11" fillId="2" borderId="0" xfId="2" applyNumberFormat="1" applyFont="1" applyFill="1" applyBorder="1" applyAlignment="1" applyProtection="1">
      <alignment horizontal="center" vertical="center" wrapText="1"/>
      <protection hidden="1"/>
    </xf>
    <xf numFmtId="0" fontId="5" fillId="0" borderId="0" xfId="2"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indent="1"/>
      <protection hidden="1"/>
    </xf>
    <xf numFmtId="49" fontId="11" fillId="2" borderId="0" xfId="0" applyNumberFormat="1" applyFont="1" applyFill="1" applyBorder="1" applyAlignment="1" applyProtection="1">
      <alignment horizontal="center" vertical="center" wrapText="1"/>
      <protection hidden="1"/>
    </xf>
    <xf numFmtId="49" fontId="11" fillId="2" borderId="0" xfId="2" applyNumberFormat="1" applyFont="1" applyFill="1" applyBorder="1" applyAlignment="1" applyProtection="1">
      <alignment horizontal="center" vertical="center" wrapText="1"/>
      <protection hidden="1"/>
    </xf>
    <xf numFmtId="2" fontId="11" fillId="2" borderId="0" xfId="2" applyNumberFormat="1" applyFont="1" applyFill="1" applyBorder="1" applyAlignment="1" applyProtection="1">
      <alignment horizontal="right" vertical="center" wrapText="1" indent="1"/>
      <protection hidden="1"/>
    </xf>
    <xf numFmtId="0" fontId="13" fillId="0" borderId="0" xfId="2" applyFont="1" applyFill="1" applyBorder="1" applyAlignment="1" applyProtection="1">
      <alignment horizontal="center" vertical="center" wrapText="1"/>
      <protection hidden="1"/>
    </xf>
    <xf numFmtId="166" fontId="14" fillId="0" borderId="0" xfId="0" applyNumberFormat="1" applyFont="1" applyFill="1" applyBorder="1" applyAlignment="1" applyProtection="1">
      <alignment horizontal="center" vertical="center" wrapText="1"/>
      <protection hidden="1"/>
    </xf>
    <xf numFmtId="169" fontId="13" fillId="0" borderId="0" xfId="2" applyNumberFormat="1" applyFont="1" applyFill="1" applyBorder="1" applyAlignment="1" applyProtection="1">
      <alignment horizontal="center" vertical="center"/>
      <protection hidden="1"/>
    </xf>
    <xf numFmtId="0" fontId="13" fillId="0" borderId="0" xfId="2" applyFont="1" applyFill="1" applyBorder="1" applyAlignment="1" applyProtection="1">
      <alignment horizontal="center" vertical="center"/>
      <protection hidden="1"/>
    </xf>
    <xf numFmtId="166" fontId="13" fillId="0" borderId="0" xfId="2" applyNumberFormat="1" applyFont="1" applyFill="1" applyBorder="1" applyAlignment="1" applyProtection="1">
      <alignment horizontal="center" vertical="center"/>
      <protection hidden="1"/>
    </xf>
    <xf numFmtId="166" fontId="13" fillId="0" borderId="0" xfId="3" applyNumberFormat="1" applyFont="1" applyFill="1" applyBorder="1" applyAlignment="1" applyProtection="1">
      <alignment horizontal="center" vertical="center"/>
      <protection hidden="1"/>
    </xf>
    <xf numFmtId="165" fontId="13" fillId="0" borderId="0" xfId="2" applyNumberFormat="1" applyFont="1" applyFill="1" applyBorder="1" applyAlignment="1" applyProtection="1">
      <alignment horizontal="center" vertical="center"/>
      <protection hidden="1"/>
    </xf>
    <xf numFmtId="2" fontId="13" fillId="0" borderId="0" xfId="2" applyNumberFormat="1" applyFont="1" applyFill="1" applyBorder="1" applyAlignment="1" applyProtection="1">
      <alignment horizontal="center" vertical="center" wrapText="1"/>
      <protection hidden="1"/>
    </xf>
    <xf numFmtId="0" fontId="13" fillId="0" borderId="0" xfId="3" applyFont="1" applyFill="1" applyBorder="1" applyAlignment="1" applyProtection="1">
      <alignment horizontal="center" vertical="center"/>
      <protection hidden="1"/>
    </xf>
    <xf numFmtId="2" fontId="13" fillId="0" borderId="0" xfId="3" applyNumberFormat="1" applyFont="1" applyFill="1" applyBorder="1" applyAlignment="1" applyProtection="1">
      <alignment horizontal="center" vertical="center"/>
      <protection hidden="1"/>
    </xf>
    <xf numFmtId="4" fontId="13" fillId="0" borderId="0" xfId="2" applyNumberFormat="1" applyFont="1" applyFill="1" applyBorder="1" applyAlignment="1" applyProtection="1">
      <alignment horizontal="center" vertical="center"/>
      <protection hidden="1"/>
    </xf>
    <xf numFmtId="166" fontId="13" fillId="0" borderId="0" xfId="0" applyNumberFormat="1" applyFont="1" applyFill="1" applyBorder="1" applyAlignment="1" applyProtection="1">
      <alignment horizontal="center" vertical="center"/>
      <protection hidden="1"/>
    </xf>
    <xf numFmtId="166" fontId="13" fillId="0" borderId="0" xfId="2" applyNumberFormat="1" applyFont="1" applyFill="1" applyBorder="1" applyAlignment="1" applyProtection="1">
      <alignment horizontal="center" vertical="center" wrapText="1"/>
      <protection hidden="1"/>
    </xf>
    <xf numFmtId="164" fontId="13" fillId="0" borderId="0" xfId="2" applyNumberFormat="1" applyFont="1" applyFill="1" applyBorder="1" applyAlignment="1" applyProtection="1">
      <alignment horizontal="center" vertical="center"/>
      <protection hidden="1"/>
    </xf>
    <xf numFmtId="164" fontId="13" fillId="0" borderId="0" xfId="0" applyNumberFormat="1" applyFont="1" applyFill="1" applyBorder="1" applyAlignment="1" applyProtection="1">
      <alignment horizontal="center" vertical="center"/>
      <protection hidden="1"/>
    </xf>
    <xf numFmtId="165" fontId="13" fillId="0" borderId="0" xfId="0" applyNumberFormat="1" applyFont="1" applyFill="1" applyBorder="1" applyAlignment="1" applyProtection="1">
      <alignment horizontal="center" vertical="center"/>
      <protection hidden="1"/>
    </xf>
    <xf numFmtId="3" fontId="13" fillId="0" borderId="0" xfId="2" applyNumberFormat="1" applyFont="1" applyFill="1" applyBorder="1" applyAlignment="1" applyProtection="1">
      <alignment horizontal="center" vertical="center"/>
      <protection hidden="1"/>
    </xf>
    <xf numFmtId="4" fontId="13" fillId="0" borderId="0" xfId="2" applyNumberFormat="1" applyFont="1" applyFill="1" applyBorder="1" applyAlignment="1" applyProtection="1">
      <alignment horizontal="center" vertical="center" wrapText="1"/>
      <protection hidden="1"/>
    </xf>
    <xf numFmtId="2" fontId="13" fillId="0" borderId="0" xfId="2" applyNumberFormat="1" applyFont="1" applyFill="1" applyBorder="1" applyAlignment="1" applyProtection="1">
      <alignment horizontal="center" vertical="center"/>
      <protection hidden="1"/>
    </xf>
    <xf numFmtId="167" fontId="13" fillId="0" borderId="0" xfId="2" applyNumberFormat="1" applyFont="1" applyFill="1" applyBorder="1" applyAlignment="1" applyProtection="1">
      <alignment horizontal="center" vertical="center"/>
      <protection hidden="1"/>
    </xf>
    <xf numFmtId="171" fontId="13" fillId="0" borderId="0" xfId="2" applyNumberFormat="1" applyFont="1" applyFill="1" applyBorder="1" applyAlignment="1" applyProtection="1">
      <alignment horizontal="center" vertical="center"/>
      <protection hidden="1"/>
    </xf>
    <xf numFmtId="168" fontId="13" fillId="0" borderId="0" xfId="2" applyNumberFormat="1" applyFont="1" applyFill="1" applyBorder="1" applyAlignment="1" applyProtection="1">
      <alignment horizontal="center" vertical="center"/>
      <protection hidden="1"/>
    </xf>
    <xf numFmtId="169" fontId="13" fillId="0" borderId="0" xfId="4" applyNumberFormat="1" applyFont="1" applyFill="1" applyBorder="1" applyAlignment="1" applyProtection="1">
      <alignment horizontal="center" vertical="center"/>
      <protection hidden="1"/>
    </xf>
    <xf numFmtId="166" fontId="13" fillId="0" borderId="0" xfId="4" applyNumberFormat="1" applyFont="1" applyFill="1" applyBorder="1" applyAlignment="1" applyProtection="1">
      <alignment horizontal="center" vertical="center"/>
      <protection hidden="1"/>
    </xf>
    <xf numFmtId="49" fontId="13" fillId="0" borderId="0" xfId="3" applyNumberFormat="1" applyFont="1" applyFill="1" applyBorder="1" applyAlignment="1" applyProtection="1">
      <alignment horizontal="center" vertical="center"/>
      <protection hidden="1"/>
    </xf>
    <xf numFmtId="0" fontId="5" fillId="2" borderId="10" xfId="2" applyFont="1" applyFill="1" applyBorder="1" applyAlignment="1" applyProtection="1">
      <alignment horizontal="center" vertical="center"/>
      <protection hidden="1"/>
    </xf>
    <xf numFmtId="0" fontId="5" fillId="2" borderId="11" xfId="2" applyFont="1" applyFill="1" applyBorder="1" applyAlignment="1" applyProtection="1">
      <alignment horizontal="center" vertical="center"/>
      <protection hidden="1"/>
    </xf>
    <xf numFmtId="0" fontId="5" fillId="2" borderId="12" xfId="2" applyFont="1" applyFill="1" applyBorder="1" applyAlignment="1" applyProtection="1">
      <alignment horizontal="center" vertical="center"/>
      <protection hidden="1"/>
    </xf>
    <xf numFmtId="2" fontId="5" fillId="2" borderId="1" xfId="2" applyNumberFormat="1" applyFont="1" applyFill="1" applyBorder="1" applyAlignment="1" applyProtection="1">
      <alignment horizontal="center" textRotation="90" wrapText="1"/>
      <protection hidden="1"/>
    </xf>
    <xf numFmtId="2" fontId="6" fillId="2" borderId="1" xfId="2" applyNumberFormat="1" applyFont="1" applyFill="1" applyBorder="1" applyAlignment="1" applyProtection="1">
      <alignment horizontal="right" vertical="center" wrapText="1" indent="1"/>
      <protection hidden="1"/>
    </xf>
    <xf numFmtId="2" fontId="9" fillId="3" borderId="1" xfId="2" applyNumberFormat="1" applyFont="1" applyFill="1" applyBorder="1" applyAlignment="1" applyProtection="1">
      <alignment horizontal="center" vertical="center" textRotation="90" wrapText="1"/>
      <protection locked="0" hidden="1"/>
    </xf>
    <xf numFmtId="170" fontId="10" fillId="2" borderId="1" xfId="2" applyNumberFormat="1" applyFont="1" applyFill="1" applyBorder="1" applyAlignment="1" applyProtection="1">
      <alignment horizontal="center" vertical="center" textRotation="90" wrapText="1"/>
      <protection hidden="1"/>
    </xf>
    <xf numFmtId="2" fontId="5" fillId="2" borderId="1" xfId="0" applyNumberFormat="1" applyFont="1" applyFill="1" applyBorder="1" applyAlignment="1" applyProtection="1">
      <alignment horizontal="center" textRotation="90" wrapText="1"/>
      <protection hidden="1"/>
    </xf>
    <xf numFmtId="0" fontId="5" fillId="2"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left" vertical="center" wrapText="1"/>
      <protection hidden="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3" borderId="1" xfId="2" applyFont="1" applyFill="1" applyBorder="1" applyAlignment="1" applyProtection="1">
      <alignment horizontal="center" vertical="center" textRotation="90" wrapText="1"/>
      <protection locked="0" hidden="1"/>
    </xf>
    <xf numFmtId="0" fontId="5" fillId="2" borderId="9" xfId="2"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textRotation="90" wrapText="1"/>
      <protection locked="0" hidden="1"/>
    </xf>
    <xf numFmtId="0" fontId="5" fillId="2" borderId="8" xfId="0" applyFont="1" applyFill="1" applyBorder="1" applyAlignment="1" applyProtection="1">
      <alignment horizontal="center" vertical="center" wrapText="1"/>
      <protection hidden="1"/>
    </xf>
    <xf numFmtId="2" fontId="7" fillId="2" borderId="1" xfId="2" applyNumberFormat="1" applyFont="1" applyFill="1" applyBorder="1" applyAlignment="1" applyProtection="1">
      <alignment horizontal="center" textRotation="90" wrapText="1"/>
      <protection hidden="1"/>
    </xf>
  </cellXfs>
  <cellStyles count="6">
    <cellStyle name="Açıklama Metni" xfId="1" builtinId="53" customBuiltin="1"/>
    <cellStyle name="Normal" xfId="0" builtinId="0"/>
    <cellStyle name="Normal 2" xfId="2" xr:uid="{00000000-0005-0000-0000-000003000000}"/>
    <cellStyle name="Normal 2 2" xfId="3" xr:uid="{00000000-0005-0000-0000-000004000000}"/>
    <cellStyle name="Virgül 2" xfId="5" xr:uid="{00000000-0005-0000-0000-000005000000}"/>
    <cellStyle name="Yüzde 2" xfId="4" xr:uid="{00000000-0005-0000-0000-000006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AEEF3"/>
      <color rgb="FFC8E1B4"/>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10"/>
            <c:invertIfNegative val="0"/>
            <c:bubble3D val="0"/>
            <c:spPr>
              <a:solidFill>
                <a:srgbClr val="C00000"/>
              </a:solidFill>
              <a:ln>
                <a:noFill/>
              </a:ln>
              <a:effectLst/>
            </c:spPr>
            <c:extLst>
              <c:ext xmlns:c16="http://schemas.microsoft.com/office/drawing/2014/chart" uri="{C3380CC4-5D6E-409C-BE32-E72D297353CC}">
                <c16:uniqueId val="{00000035-76B2-4C18-89DE-DC2E6F8C5820}"/>
              </c:ext>
            </c:extLst>
          </c:dPt>
          <c:dPt>
            <c:idx val="11"/>
            <c:invertIfNegative val="0"/>
            <c:bubble3D val="0"/>
            <c:spPr>
              <a:solidFill>
                <a:srgbClr val="C00000"/>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rgbClr val="C00000"/>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rgbClr val="C00000"/>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rgbClr val="C00000"/>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chemeClr val="bg1">
                  <a:lumMod val="50000"/>
                </a:schemeClr>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chemeClr val="bg1">
                  <a:lumMod val="50000"/>
                </a:schemeClr>
              </a:solidFill>
              <a:ln>
                <a:noFill/>
              </a:ln>
              <a:effectLst/>
            </c:spPr>
            <c:extLst>
              <c:ext xmlns:c16="http://schemas.microsoft.com/office/drawing/2014/chart" uri="{C3380CC4-5D6E-409C-BE32-E72D297353CC}">
                <c16:uniqueId val="{0000002D-15C5-4CF9-A126-8061EA1D968F}"/>
              </c:ext>
            </c:extLst>
          </c:dPt>
          <c:dPt>
            <c:idx val="20"/>
            <c:invertIfNegative val="0"/>
            <c:bubble3D val="0"/>
            <c:spPr>
              <a:solidFill>
                <a:schemeClr val="tx1"/>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Tablo'!$P$1:$P$17</c:f>
              <c:strCache>
                <c:ptCount val="17"/>
                <c:pt idx="0">
                  <c:v>Normal Çalışma</c:v>
                </c:pt>
                <c:pt idx="1">
                  <c:v>Kıdem Yardımı</c:v>
                </c:pt>
                <c:pt idx="2">
                  <c:v>Fazla Çalışma (Gündüz / Gece)</c:v>
                </c:pt>
                <c:pt idx="3">
                  <c:v>Resmi Tatillerde Çalışma</c:v>
                </c:pt>
                <c:pt idx="4">
                  <c:v>Yemek Yardımı</c:v>
                </c:pt>
                <c:pt idx="5">
                  <c:v>İkramiye Yardımı</c:v>
                </c:pt>
                <c:pt idx="6">
                  <c:v>Sosyal Yardım</c:v>
                </c:pt>
                <c:pt idx="7">
                  <c:v>Görev Primi</c:v>
                </c:pt>
                <c:pt idx="8">
                  <c:v>İdari Sorumluluk Primi</c:v>
                </c:pt>
                <c:pt idx="9">
                  <c:v>Nakdi Yardımlar</c:v>
                </c:pt>
                <c:pt idx="10">
                  <c:v>Sendika Üyelik Aidatı Kesintisi</c:v>
                </c:pt>
                <c:pt idx="11">
                  <c:v>BES Kesintisi</c:v>
                </c:pt>
                <c:pt idx="12">
                  <c:v>Damga Vergisi Kesintisi</c:v>
                </c:pt>
                <c:pt idx="13">
                  <c:v>SGK Prim Kesintisi</c:v>
                </c:pt>
                <c:pt idx="14">
                  <c:v>SGK İşsizlik Primi Kesintisi</c:v>
                </c:pt>
                <c:pt idx="15">
                  <c:v>Gelir Vergisi Kesintisi</c:v>
                </c:pt>
                <c:pt idx="16">
                  <c:v>İşveren Maliyeti</c:v>
                </c:pt>
              </c:strCache>
            </c:strRef>
          </c:cat>
          <c:val>
            <c:numRef>
              <c:f>'Özet Tablo'!$Q$1:$Q$17</c:f>
              <c:numCache>
                <c:formatCode>#,##0.00\ "₺"</c:formatCode>
                <c:ptCount val="17"/>
                <c:pt idx="0">
                  <c:v>59968.729999999996</c:v>
                </c:pt>
                <c:pt idx="1">
                  <c:v>0</c:v>
                </c:pt>
                <c:pt idx="2">
                  <c:v>33607.665000000001</c:v>
                </c:pt>
                <c:pt idx="3">
                  <c:v>0</c:v>
                </c:pt>
                <c:pt idx="4">
                  <c:v>14374</c:v>
                </c:pt>
                <c:pt idx="5">
                  <c:v>19696.800000000003</c:v>
                </c:pt>
                <c:pt idx="6">
                  <c:v>10569.36</c:v>
                </c:pt>
                <c:pt idx="7">
                  <c:v>0</c:v>
                </c:pt>
                <c:pt idx="8">
                  <c:v>0</c:v>
                </c:pt>
                <c:pt idx="9">
                  <c:v>0</c:v>
                </c:pt>
                <c:pt idx="10">
                  <c:v>2104.3339941358722</c:v>
                </c:pt>
                <c:pt idx="11">
                  <c:v>0</c:v>
                </c:pt>
                <c:pt idx="12">
                  <c:v>717.88092179914338</c:v>
                </c:pt>
                <c:pt idx="13">
                  <c:v>22377.09552962847</c:v>
                </c:pt>
                <c:pt idx="14">
                  <c:v>1598.3639664020334</c:v>
                </c:pt>
                <c:pt idx="15">
                  <c:v>0</c:v>
                </c:pt>
                <c:pt idx="16">
                  <c:v>190398.82363583689</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Tablo'!$P$18:$P$19</c:f>
              <c:strCache>
                <c:ptCount val="2"/>
                <c:pt idx="0">
                  <c:v>Kazançlar</c:v>
                </c:pt>
                <c:pt idx="1">
                  <c:v>Kesintiler</c:v>
                </c:pt>
              </c:strCache>
            </c:strRef>
          </c:cat>
          <c:val>
            <c:numRef>
              <c:f>'Özet Tablo'!$Q$18:$Q$19</c:f>
              <c:numCache>
                <c:formatCode>#,##0.00\ "₺"</c:formatCode>
                <c:ptCount val="2"/>
                <c:pt idx="0">
                  <c:v>136634.79222823781</c:v>
                </c:pt>
                <c:pt idx="1">
                  <c:v>26797.674411965534</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19</xdr:col>
      <xdr:colOff>53463</xdr:colOff>
      <xdr:row>0</xdr:row>
      <xdr:rowOff>70921</xdr:rowOff>
    </xdr:from>
    <xdr:to>
      <xdr:col>19</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4966692</xdr:colOff>
      <xdr:row>8</xdr:row>
      <xdr:rowOff>125886</xdr:rowOff>
    </xdr:from>
    <xdr:to>
      <xdr:col>19</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KJ363"/>
  <sheetViews>
    <sheetView showGridLines="0" showRowColHeaders="0" tabSelected="1" showWhiteSpace="0" zoomScale="40" zoomScaleNormal="40" zoomScaleSheetLayoutView="40" zoomScalePageLayoutView="55" workbookViewId="0">
      <pane xSplit="2" topLeftCell="C1" activePane="topRight" state="frozen"/>
      <selection pane="topRight" sqref="A1:A14"/>
    </sheetView>
  </sheetViews>
  <sheetFormatPr defaultColWidth="0" defaultRowHeight="39.950000000000003" customHeight="1" zeroHeight="1" x14ac:dyDescent="0.25"/>
  <cols>
    <col min="1" max="12" width="12.7109375" style="2" customWidth="1"/>
    <col min="13" max="15" width="20.7109375" style="2" customWidth="1"/>
    <col min="16" max="18" width="0.140625" style="22" customWidth="1"/>
    <col min="19" max="19" width="5.7109375" style="1" customWidth="1"/>
    <col min="20" max="20" width="110.7109375" style="2" customWidth="1"/>
    <col min="21" max="22" width="20.7109375" style="22" hidden="1" customWidth="1"/>
    <col min="23" max="24" width="5.7109375" style="1" customWidth="1"/>
    <col min="25" max="25" width="80.7109375" style="1" customWidth="1"/>
    <col min="26" max="26" width="5.7109375" style="1" customWidth="1"/>
    <col min="27" max="90" width="5.7109375" style="31" hidden="1" customWidth="1"/>
    <col min="91" max="93" width="20.7109375" style="31" hidden="1" customWidth="1"/>
    <col min="94" max="94" width="1.7109375" style="2" customWidth="1"/>
    <col min="95" max="296" width="0" style="2" hidden="1" customWidth="1"/>
    <col min="297" max="16384" width="5.7109375" style="2" hidden="1"/>
  </cols>
  <sheetData>
    <row r="1" spans="1:94" ht="39.950000000000003" customHeight="1" x14ac:dyDescent="0.25">
      <c r="A1" s="58" t="s">
        <v>92</v>
      </c>
      <c r="B1" s="59">
        <f>COUNTIF($A$1,"1S-Kaptan-Üniversite")*($AC$1)
+COUNTIF($A$1,"1S-Kaptan-MYO")*($AC$2)
+COUNTIF($A$1,"1S-Kaptan-Lise")*($AC$3)
+COUNTIF($A$1,"1S-Baş Makinist-Üniversite")*($AC$4)
+COUNTIF($A$1,"1S-Baş Makinist-MYO")*($AC$5)
+COUNTIF($A$1,"1S-Baş Makinist-Lise")*($AC$6)
+COUNTIF($A$1,"2S-Kaptan-Üniversite")*($AC$7)
+COUNTIF($A$1,"2S-Kaptan-MYO")*($AC$8)
+COUNTIF($A$1,"2S-Kaptan-Lise")*($AC$9)
+COUNTIF($A$1,"2S-Baş Makinist-Üniversite")*($AC$10)
+COUNTIF($A$1,"2S-Baş Makinist-MYO")*($AC$11)
+COUNTIF($A$1,"2S-Baş Makinist-Lise")*($AC$12)
+COUNTIF($A$1,"2S-İkinci Kaptan-Üniversite")*($AC$13)
+COUNTIF($A$1,"2S-İkinci Kaptan-MYO")*($AC$14)
+COUNTIF($A$1,"2S-İkinci Kaptan-Lise")*($AC$15)
+COUNTIF($A$1,"2S-Usta Gemici-Üniversite")*($AC$16)
+COUNTIF($A$1,"2S-Usta Gemici-MYO")*($AC$17)
+COUNTIF($A$1,"2S-Usta Gemici-Lise")*($AC$18)
+COUNTIF($A$1,"2S-Yağcı-Üniversite")*($AC$19)
+COUNTIF($A$1,"2S-Yağcı-MYO")*($AC$20)
+COUNTIF($A$1,"2S-Yağcı-Lise")*($AC$21)</f>
        <v>183.35</v>
      </c>
      <c r="C1" s="56" t="s">
        <v>53</v>
      </c>
      <c r="D1" s="56" t="s">
        <v>54</v>
      </c>
      <c r="E1" s="60" t="s">
        <v>67</v>
      </c>
      <c r="F1" s="56" t="s">
        <v>55</v>
      </c>
      <c r="G1" s="56" t="s">
        <v>96</v>
      </c>
      <c r="H1" s="56" t="s">
        <v>95</v>
      </c>
      <c r="I1" s="56" t="s">
        <v>56</v>
      </c>
      <c r="J1" s="56" t="s">
        <v>56</v>
      </c>
      <c r="K1" s="56" t="s">
        <v>56</v>
      </c>
      <c r="L1" s="56" t="s">
        <v>57</v>
      </c>
      <c r="M1" s="56" t="s">
        <v>68</v>
      </c>
      <c r="N1" s="56" t="s">
        <v>76</v>
      </c>
      <c r="O1" s="73" t="s">
        <v>65</v>
      </c>
      <c r="P1" s="18" t="s">
        <v>29</v>
      </c>
      <c r="Q1" s="19">
        <f t="shared" ref="Q1:Q4" si="0">IF(R1&gt;0,R1,R1*-1)</f>
        <v>59968.729999999996</v>
      </c>
      <c r="R1" s="19">
        <f>COUNTIF(S1,"Ocak")*(AV8)
+COUNTIF(S1,"Şubat")*(AV9)
+COUNTIF(S1,"Mart")*(AV10)
+COUNTIF(S1,"Nisan")*(AV11)
+COUNTIF(S1,"Mayıs")*(AV12)
+COUNTIF(S1,"Haziran")*(AV13)
+COUNTIF(S1,"Temmuz")*(AV14)
+COUNTIF(S1,"Ağustos")*(AV15)
+COUNTIF(S1,"Eylül")*(AV16)
+COUNTIF(S1,"Ekim")*(AV17)
+COUNTIF(S1,"Kasım")*(AV18)
+COUNTIF(S1,"Aralık")*(AV19)
+COUNTIF(S1,"Yıllık Toplam")*(AV20)
+COUNTIF(S1,"Yıllık Ortalama")*(AV21)</f>
        <v>59968.729999999996</v>
      </c>
      <c r="S1" s="69" t="s">
        <v>51</v>
      </c>
      <c r="T1" s="70"/>
      <c r="U1" s="23" t="s">
        <v>23</v>
      </c>
      <c r="V1" s="23" t="s">
        <v>69</v>
      </c>
      <c r="W1" s="71" t="s">
        <v>39</v>
      </c>
      <c r="X1" s="63"/>
      <c r="Y1" s="64"/>
      <c r="Z1" s="65"/>
      <c r="AA1" s="28" t="s">
        <v>80</v>
      </c>
      <c r="AB1" s="29">
        <v>272.16000000000003</v>
      </c>
      <c r="AC1" s="29">
        <v>272.16000000000003</v>
      </c>
      <c r="AD1" s="30">
        <f>(10%)</f>
        <v>0.1</v>
      </c>
      <c r="AE1" s="31" t="s">
        <v>0</v>
      </c>
      <c r="AF1" s="32">
        <f>($AF$7*$AD$1)</f>
        <v>500.40000000000003</v>
      </c>
      <c r="AG1" s="32">
        <f>($AG$7*$AD$1)</f>
        <v>647.1</v>
      </c>
      <c r="AH1" s="33">
        <f ca="1">(AR8*L23+AI1)*-1</f>
        <v>0</v>
      </c>
      <c r="AI1" s="33">
        <f ca="1">(BA16+BD16+AT2-AY2)*(L23*-1)</f>
        <v>0</v>
      </c>
      <c r="AJ1" s="33">
        <f ca="1">(AH1+AI1)</f>
        <v>0</v>
      </c>
      <c r="AK1" s="32" t="s">
        <v>0</v>
      </c>
      <c r="AL1" s="32">
        <f>(6471)</f>
        <v>6471</v>
      </c>
      <c r="AM1" s="32">
        <f>(6471)</f>
        <v>6471</v>
      </c>
      <c r="AN1" s="32">
        <f>(AL1-AM1)</f>
        <v>0</v>
      </c>
      <c r="AO1" s="32">
        <f>(AN1*0.00759*-1)</f>
        <v>0</v>
      </c>
      <c r="AP1" s="32">
        <f>(0)</f>
        <v>0</v>
      </c>
      <c r="AQ1" s="32">
        <f>(AL1-AP1)</f>
        <v>6471</v>
      </c>
      <c r="AR1" s="32">
        <f>(AQ1*0.14*-1)</f>
        <v>-905.94</v>
      </c>
      <c r="AS1" s="32">
        <f>(AQ1*0.01*-1)</f>
        <v>-64.710000000000008</v>
      </c>
      <c r="AT1" s="32">
        <f t="shared" ref="AT1:AT5" ca="1" si="1">(AV1+AX1*-1+BA1*-1+BB1*-1+BE1*-1)</f>
        <v>1476.2320857</v>
      </c>
      <c r="AU1" s="32">
        <f>(48*F22)</f>
        <v>1296</v>
      </c>
      <c r="AV1" s="32">
        <f t="shared" ref="AV1:AV5" si="2">(AU1)</f>
        <v>1296</v>
      </c>
      <c r="AW1" s="32">
        <f t="shared" ref="AW1:AW5" ca="1" si="3">ROUND((AV1+AX1*-1+BA1*-1+BB1*-1+BE1*-1),2)</f>
        <v>1476.23</v>
      </c>
      <c r="AX1" s="32">
        <f t="shared" ref="AX1:AX5" ca="1" si="4">(AW1*0.00759*-1)</f>
        <v>-11.204585700000001</v>
      </c>
      <c r="AY1" s="32">
        <f>($AG$9*F22)</f>
        <v>349.38</v>
      </c>
      <c r="AZ1" s="32">
        <f t="shared" ref="AZ1:AZ5" ca="1" si="5">(AW1-AY1)</f>
        <v>1126.8499999999999</v>
      </c>
      <c r="BA1" s="32">
        <f t="shared" ref="BA1:BA5" ca="1" si="6">(AZ1*0.14*-1)</f>
        <v>-157.75900000000001</v>
      </c>
      <c r="BB1" s="32">
        <f t="shared" ref="BB1:BB5" ca="1" si="7">(AZ1*0.01*-1)</f>
        <v>-11.2685</v>
      </c>
      <c r="BC1" s="32">
        <f>(0)</f>
        <v>0</v>
      </c>
      <c r="BD1" s="32">
        <f t="shared" ref="BD1:BD5" ca="1" si="8">(AW1+BA1+BB1-BC1)</f>
        <v>1307.2025000000001</v>
      </c>
      <c r="BE1" s="32">
        <f>(0)</f>
        <v>0</v>
      </c>
      <c r="BF1" s="34">
        <v>0</v>
      </c>
      <c r="BG1" s="32">
        <f>(BH1/CG22)</f>
        <v>0</v>
      </c>
      <c r="BH1" s="32">
        <f>(0/30*BF1)</f>
        <v>0</v>
      </c>
      <c r="BI1" s="32">
        <f>(0)</f>
        <v>0</v>
      </c>
      <c r="BJ1" s="32">
        <f>(0)</f>
        <v>0</v>
      </c>
      <c r="BK1" s="32">
        <f>(0)</f>
        <v>0</v>
      </c>
      <c r="BL1" s="34">
        <v>0</v>
      </c>
      <c r="BM1" s="32">
        <f>(BN1/CG22)</f>
        <v>0</v>
      </c>
      <c r="BN1" s="32">
        <f>(AS16*BL1)</f>
        <v>0</v>
      </c>
      <c r="BO1" s="34">
        <v>30</v>
      </c>
      <c r="BP1" s="32">
        <f>(BQ1/CG22)</f>
        <v>1045.5478923564535</v>
      </c>
      <c r="BQ1" s="32">
        <f>(880.78/30*BO1)</f>
        <v>880.78</v>
      </c>
      <c r="BS1" s="33">
        <f>(BT1/CG22)</f>
        <v>0</v>
      </c>
      <c r="BT1" s="33">
        <f>COUNTIF($A$1,"1S-Baş Makinist-Üniversite")*(300/30*G22)
+COUNTIF($A$1,"1S-Baş Makinist-MYO")*(300/30*G22)
+COUNTIF($A$1,"1S-Baş Makinist-Lise")*(300/30*G22)
+COUNTIF($A$1,"2S-Baş Makinist-Üniversite")*(300/30*G22)
+COUNTIF($A$1,"2S-Baş Makinist-MYO")*(300/30*G22)
+COUNTIF($A$1,"2S-Baş Makinist-Lise")*(300/30*G22)</f>
        <v>0</v>
      </c>
      <c r="BV1" s="33">
        <f>(BW1/CG22)</f>
        <v>0</v>
      </c>
      <c r="BW1" s="33">
        <f>COUNTIF($A$1,"1S-Kaptan-Üniversite")*(100/30*H22)
+COUNTIF($A$1,"1S-Kaptan-MYO")*(100/30*H22)
+COUNTIF($A$1,"1S-Kaptan-Lise")*(100/30*H22)
+COUNTIF($A$1,"2S-Kaptan-Üniversite")*(100/30*H22)
+COUNTIF($A$1,"2S-Kaptan-MYO")*(100/30*H22)
+COUNTIF($A$1,"2S-Kaptan-Lise")*(100/30*H22)
+COUNTIF($A$1,"2S-İkinci Kaptan-Üniversite")*(100/30*H22)
+COUNTIF($A$1,"2S-İkinci Kaptan-MYO")*(100/30*H22)
+COUNTIF($A$1,"2S-İkinci Kaptan-Lise")*(100/30*H22)</f>
        <v>0</v>
      </c>
      <c r="BX1" s="32">
        <f ca="1">(AU17+AX17+BA17+BD17+AT3+BG3+BM3+BP3+BS3+BV3+AW17)</f>
        <v>12927.878048514813</v>
      </c>
      <c r="BY1" s="32">
        <f ca="1">(AU17+AX17+BA17+BD17+AT3+BG3+BM3+BP3+BS3+BV3+AW17)</f>
        <v>12927.878048514813</v>
      </c>
      <c r="BZ1" s="32">
        <f ca="1">(BY1*0.00759*-1)</f>
        <v>-98.122594388227427</v>
      </c>
      <c r="CA1" s="32">
        <f>(AM2)</f>
        <v>6471</v>
      </c>
      <c r="CB1" s="32">
        <f>(CA1*0.00759*-1)</f>
        <v>-49.114890000000003</v>
      </c>
      <c r="CC1" s="32">
        <f ca="1">(BY1-CA1)</f>
        <v>6456.8780485148127</v>
      </c>
      <c r="CD1" s="32">
        <f ca="1">(CC1*0.00759*-1)</f>
        <v>-49.007704388227431</v>
      </c>
      <c r="CK1" s="28" t="s">
        <v>1</v>
      </c>
      <c r="CL1" s="28" t="s">
        <v>77</v>
      </c>
      <c r="CP1" s="53"/>
    </row>
    <row r="2" spans="1:94" ht="39.950000000000003" customHeight="1" x14ac:dyDescent="0.25">
      <c r="A2" s="58"/>
      <c r="B2" s="59"/>
      <c r="C2" s="56"/>
      <c r="D2" s="56"/>
      <c r="E2" s="60"/>
      <c r="F2" s="56"/>
      <c r="G2" s="56"/>
      <c r="H2" s="56"/>
      <c r="I2" s="56"/>
      <c r="J2" s="56"/>
      <c r="K2" s="56"/>
      <c r="L2" s="56"/>
      <c r="M2" s="56"/>
      <c r="N2" s="56"/>
      <c r="O2" s="73"/>
      <c r="P2" s="18" t="s">
        <v>2</v>
      </c>
      <c r="Q2" s="19">
        <f t="shared" si="0"/>
        <v>0</v>
      </c>
      <c r="R2" s="19">
        <f>COUNTIF(S1,"Ocak")*(AY8)
+COUNTIF(S1,"Şubat")*(AY9)
+COUNTIF(S1,"Mart")*(AY10)
+COUNTIF(S1,"Nisan")*(AY11)
+COUNTIF(S1,"Mayıs")*(AY12)
+COUNTIF(S1,"Haziran")*(AY13)
+COUNTIF(S1,"Temmuz")*(AY14)
+COUNTIF(S1,"Ağustos")*(AY15)
+COUNTIF(S1,"Eylül")*(AY16)
+COUNTIF(S1,"Ekim")*(AY17)
+COUNTIF(S1,"Kasım")*(AY18)
+COUNTIF(S1,"Aralık")*(AY19)
+COUNTIF(S1,"Yıllık Toplam")*(AY20)
+COUNTIF(S1,"Yıllık Ortalama")*(AY21)</f>
        <v>0</v>
      </c>
      <c r="S2" s="69"/>
      <c r="T2" s="70"/>
      <c r="U2" s="24" t="s">
        <v>22</v>
      </c>
      <c r="V2" s="25" t="s">
        <v>101</v>
      </c>
      <c r="W2" s="71"/>
      <c r="X2" s="72"/>
      <c r="Y2" s="62" t="str">
        <f>IF($W$1="Analık Hâli İzni",$V$1,
IF($W$1="Annelik İzni",$V$2,
IF($W$1="Babalık İzni",$V$3,
IF($W$1="Cenaze İzni",$V$4,
IF($W$1="Doğal Afet İzni",$V$5,
IF($W$1="Engelli Çocuk İzni",$V$6,
IF($W$1="Evlat Edinme İzni",$V$7,
IF($W$1="Evlilik İzni",$V$8,
IF($W$1="İş Arama İzni",$V$9,
IF($W$1="Mazeret İzni",$V$10,
IF($W$1="Süt İzni",$V$11,
IF($W$1="Ücretli Sendikal İzin ve Sendika Temsilci Sayısı",$V$12,
IF($W$1="Ücretli Yıllık İzin",$V$13,
IF($W$1="Yol İzni",$V$14))))))))))))))</f>
        <v>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v>
      </c>
      <c r="Z2" s="61"/>
      <c r="AA2" s="28" t="s">
        <v>81</v>
      </c>
      <c r="AB2" s="29">
        <v>270.8</v>
      </c>
      <c r="AC2" s="29">
        <v>270.8</v>
      </c>
      <c r="AD2" s="30">
        <f>(2%)</f>
        <v>0.02</v>
      </c>
      <c r="AE2" s="31" t="s">
        <v>0</v>
      </c>
      <c r="AF2" s="32">
        <f>($AF$7*$AD$2)</f>
        <v>100.08</v>
      </c>
      <c r="AG2" s="32">
        <f>($AG$7*$AD$2)</f>
        <v>129.42000000000002</v>
      </c>
      <c r="AH2" s="33">
        <f ca="1">(CB20*L24+AI2)*-1</f>
        <v>0</v>
      </c>
      <c r="AI2" s="33">
        <f ca="1">(BA17+BD17+AT3-AY3)*(L24*-1)</f>
        <v>0</v>
      </c>
      <c r="AJ2" s="33">
        <f ca="1">(AH2+AI2)</f>
        <v>0</v>
      </c>
      <c r="AK2" s="32" t="s">
        <v>0</v>
      </c>
      <c r="AL2" s="32">
        <f>(6471)</f>
        <v>6471</v>
      </c>
      <c r="AM2" s="32">
        <f>(6471)</f>
        <v>6471</v>
      </c>
      <c r="AN2" s="32">
        <f>(AL2-AM2)</f>
        <v>0</v>
      </c>
      <c r="AO2" s="32">
        <f>(AN2*0.00759*-1)</f>
        <v>0</v>
      </c>
      <c r="AP2" s="32">
        <f>(0)</f>
        <v>0</v>
      </c>
      <c r="AQ2" s="32">
        <f>(AL2-AP2)</f>
        <v>6471</v>
      </c>
      <c r="AR2" s="32">
        <f>(AQ2*0.14*-1)</f>
        <v>-905.94</v>
      </c>
      <c r="AS2" s="32">
        <f>(AQ2*0.01*-1)</f>
        <v>-64.710000000000008</v>
      </c>
      <c r="AT2" s="32">
        <f t="shared" ca="1" si="1"/>
        <v>1421.5576404000001</v>
      </c>
      <c r="AU2" s="32">
        <f>(48*F23)</f>
        <v>1248</v>
      </c>
      <c r="AV2" s="32">
        <f t="shared" si="2"/>
        <v>1248</v>
      </c>
      <c r="AW2" s="32">
        <f t="shared" ca="1" si="3"/>
        <v>1421.56</v>
      </c>
      <c r="AX2" s="32">
        <f t="shared" ca="1" si="4"/>
        <v>-10.7896404</v>
      </c>
      <c r="AY2" s="32">
        <f>($AG$9*F23)</f>
        <v>336.44</v>
      </c>
      <c r="AZ2" s="32">
        <f t="shared" ca="1" si="5"/>
        <v>1085.1199999999999</v>
      </c>
      <c r="BA2" s="32">
        <f t="shared" ca="1" si="6"/>
        <v>-151.91679999999999</v>
      </c>
      <c r="BB2" s="32">
        <f t="shared" ca="1" si="7"/>
        <v>-10.851199999999999</v>
      </c>
      <c r="BC2" s="32">
        <f>(0)</f>
        <v>0</v>
      </c>
      <c r="BD2" s="32">
        <f t="shared" ca="1" si="8"/>
        <v>1258.7919999999999</v>
      </c>
      <c r="BE2" s="32">
        <f>(0)</f>
        <v>0</v>
      </c>
      <c r="BF2" s="34">
        <v>0</v>
      </c>
      <c r="BG2" s="32">
        <f>(BH2/CG23)</f>
        <v>0</v>
      </c>
      <c r="BH2" s="32">
        <f>(0/30*BF2)</f>
        <v>0</v>
      </c>
      <c r="BI2" s="32">
        <f>(0)</f>
        <v>0</v>
      </c>
      <c r="BJ2" s="32">
        <f>(0)</f>
        <v>0</v>
      </c>
      <c r="BK2" s="32">
        <f>(0)</f>
        <v>0</v>
      </c>
      <c r="BL2" s="34">
        <v>30</v>
      </c>
      <c r="BM2" s="32">
        <f>(BN2/CG23)</f>
        <v>6529.4808941014471</v>
      </c>
      <c r="BN2" s="32">
        <f>(AS17*BL2)</f>
        <v>5500.5</v>
      </c>
      <c r="BO2" s="34">
        <v>30</v>
      </c>
      <c r="BP2" s="32">
        <f>(BQ2/CG23)</f>
        <v>1045.5478923564535</v>
      </c>
      <c r="BQ2" s="32">
        <f>(880.78/30*BO2)</f>
        <v>880.78</v>
      </c>
      <c r="BS2" s="33">
        <f>(BT2/CG23)</f>
        <v>0</v>
      </c>
      <c r="BT2" s="33">
        <f>COUNTIF($A$1,"1S-Baş Makinist-Üniversite")*(300/30*G23)
+COUNTIF($A$1,"1S-Baş Makinist-MYO")*(300/30*G23)
+COUNTIF($A$1,"1S-Baş Makinist-Lise")*(300/30*G23)
+COUNTIF($A$1,"2S-Baş Makinist-Üniversite")*(300/30*G23)
+COUNTIF($A$1,"2S-Baş Makinist-MYO")*(300/30*G23)
+COUNTIF($A$1,"2S-Baş Makinist-Lise")*(300/30*G23)</f>
        <v>0</v>
      </c>
      <c r="BV2" s="33">
        <f>(BW2/CG23)</f>
        <v>0</v>
      </c>
      <c r="BW2" s="33">
        <f>COUNTIF($A$1,"1S-Kaptan-Üniversite")*(100/30*H23)
+COUNTIF($A$1,"1S-Kaptan-MYO")*(100/30*H23)
+COUNTIF($A$1,"1S-Kaptan-Lise")*(100/30*H23)
+COUNTIF($A$1,"2S-Kaptan-Üniversite")*(100/30*H23)
+COUNTIF($A$1,"2S-Kaptan-MYO")*(100/30*H23)
+COUNTIF($A$1,"2S-Kaptan-Lise")*(100/30*H23)
+COUNTIF($A$1,"2S-İkinci Kaptan-Üniversite")*(100/30*H23)
+COUNTIF($A$1,"2S-İkinci Kaptan-MYO")*(100/30*H23)
+COUNTIF($A$1,"2S-İkinci Kaptan-Lise")*(100/30*H23)</f>
        <v>0</v>
      </c>
      <c r="BX2" s="32">
        <f ca="1">(AU18+AX18+BA18+BD18+AT4+BG4+BM4+BP4+BS4+BV4+AW18)</f>
        <v>12957.804835946112</v>
      </c>
      <c r="BY2" s="32">
        <f ca="1">(AU18+AX18+BA18+BD18+AT4+BG4+BM4+BP4+BS4+BV4+AW18)</f>
        <v>12957.804835946112</v>
      </c>
      <c r="BZ2" s="32">
        <f ca="1">(BY2*0.00759*-1)</f>
        <v>-98.349738704830997</v>
      </c>
      <c r="CA2" s="32">
        <f>(AM3)</f>
        <v>6471</v>
      </c>
      <c r="CB2" s="32">
        <f>(CA2*0.00759*-1)</f>
        <v>-49.114890000000003</v>
      </c>
      <c r="CC2" s="32">
        <f ca="1">(BY2-CA2)</f>
        <v>6486.8048359461118</v>
      </c>
      <c r="CD2" s="32">
        <f ca="1">(CC2*0.00759*-1)</f>
        <v>-49.234848704830988</v>
      </c>
      <c r="CK2" s="35" t="s">
        <v>58</v>
      </c>
      <c r="CL2" s="33">
        <v>207.43</v>
      </c>
      <c r="CM2" s="31">
        <v>0</v>
      </c>
      <c r="CN2" s="36">
        <v>0</v>
      </c>
      <c r="CO2" s="37">
        <v>0</v>
      </c>
      <c r="CP2" s="54"/>
    </row>
    <row r="3" spans="1:94" ht="39.950000000000003" customHeight="1" x14ac:dyDescent="0.25">
      <c r="A3" s="58"/>
      <c r="B3" s="59"/>
      <c r="C3" s="56"/>
      <c r="D3" s="56"/>
      <c r="E3" s="60"/>
      <c r="F3" s="56"/>
      <c r="G3" s="56"/>
      <c r="H3" s="56"/>
      <c r="I3" s="56"/>
      <c r="J3" s="56"/>
      <c r="K3" s="56"/>
      <c r="L3" s="56"/>
      <c r="M3" s="56"/>
      <c r="N3" s="56"/>
      <c r="O3" s="73"/>
      <c r="P3" s="18" t="s">
        <v>50</v>
      </c>
      <c r="Q3" s="19">
        <f t="shared" si="0"/>
        <v>33607.665000000001</v>
      </c>
      <c r="R3" s="19">
        <f>COUNTIF(S1,"Ocak")*(BB8)
+COUNTIF(S1,"Şubat")*(BB9)
+COUNTIF(S1,"Mart")*(BB10)
+COUNTIF(S1,"Nisan")*(BB11)
+COUNTIF(S1,"Mayıs")*(BB12)
+COUNTIF(S1,"Haziran")*(BB13)
+COUNTIF(S1,"Temmuz")*(BB14)
+COUNTIF(S1,"Ağustos")*(BB15)
+COUNTIF(S1,"Eylül")*(BB16)
+COUNTIF(S1,"Ekim")*(BB17)
+COUNTIF(S1,"Kasım")*(BB18)
+COUNTIF(S1,"Aralık")*(BB19)
+COUNTIF(S1,"Yıllık Toplam")*(BB20)
+COUNTIF(S1,"Yıllık Ortalama")*(BB21)</f>
        <v>33607.665000000001</v>
      </c>
      <c r="S3" s="69"/>
      <c r="T3" s="70"/>
      <c r="U3" s="24" t="s">
        <v>24</v>
      </c>
      <c r="V3" s="26" t="s">
        <v>46</v>
      </c>
      <c r="W3" s="71"/>
      <c r="X3" s="72"/>
      <c r="Y3" s="62"/>
      <c r="Z3" s="61"/>
      <c r="AA3" s="28" t="s">
        <v>70</v>
      </c>
      <c r="AB3" s="29">
        <v>269.44</v>
      </c>
      <c r="AC3" s="29">
        <v>269.44</v>
      </c>
      <c r="AD3" s="30">
        <f>(1%)</f>
        <v>0.01</v>
      </c>
      <c r="AE3" s="31" t="s">
        <v>0</v>
      </c>
      <c r="AF3" s="32">
        <f>($AF$7*$AD$3)</f>
        <v>50.04</v>
      </c>
      <c r="AG3" s="32">
        <f>($AG$7*$AD$3)</f>
        <v>64.710000000000008</v>
      </c>
      <c r="AH3" s="33">
        <f ca="1">(CB21*L25+AI3)*-1</f>
        <v>0</v>
      </c>
      <c r="AI3" s="33">
        <f ca="1">(BA18+BD18+AT4-AY4)*(L25*-1)</f>
        <v>0</v>
      </c>
      <c r="AJ3" s="33">
        <f ca="1">(AH3+AI3)</f>
        <v>0</v>
      </c>
      <c r="AK3" s="32" t="s">
        <v>0</v>
      </c>
      <c r="AL3" s="32">
        <f>(6471)</f>
        <v>6471</v>
      </c>
      <c r="AM3" s="32">
        <f>(6471)</f>
        <v>6471</v>
      </c>
      <c r="AN3" s="32">
        <f>(AL3-AM3)</f>
        <v>0</v>
      </c>
      <c r="AO3" s="32">
        <f>(AN3*0.00759*-1)</f>
        <v>0</v>
      </c>
      <c r="AP3" s="32">
        <f>(0)</f>
        <v>0</v>
      </c>
      <c r="AQ3" s="32">
        <f>(AL3-AP3)</f>
        <v>6471</v>
      </c>
      <c r="AR3" s="32">
        <f>(AQ3*0.14*-1)</f>
        <v>-905.94</v>
      </c>
      <c r="AS3" s="32">
        <f>(AQ3*0.01*-1)</f>
        <v>-64.710000000000008</v>
      </c>
      <c r="AT3" s="32">
        <f t="shared" ca="1" si="1"/>
        <v>1421.5576404000001</v>
      </c>
      <c r="AU3" s="32">
        <f>(48*F24)</f>
        <v>1248</v>
      </c>
      <c r="AV3" s="32">
        <f t="shared" si="2"/>
        <v>1248</v>
      </c>
      <c r="AW3" s="32">
        <f t="shared" ca="1" si="3"/>
        <v>1421.56</v>
      </c>
      <c r="AX3" s="32">
        <f t="shared" ca="1" si="4"/>
        <v>-10.7896404</v>
      </c>
      <c r="AY3" s="32">
        <f>($AG$9*F24)</f>
        <v>336.44</v>
      </c>
      <c r="AZ3" s="32">
        <f t="shared" ca="1" si="5"/>
        <v>1085.1199999999999</v>
      </c>
      <c r="BA3" s="32">
        <f t="shared" ca="1" si="6"/>
        <v>-151.91679999999999</v>
      </c>
      <c r="BB3" s="32">
        <f t="shared" ca="1" si="7"/>
        <v>-10.851199999999999</v>
      </c>
      <c r="BC3" s="32">
        <f>(0)</f>
        <v>0</v>
      </c>
      <c r="BD3" s="32">
        <f t="shared" ca="1" si="8"/>
        <v>1258.7919999999999</v>
      </c>
      <c r="BE3" s="32">
        <f>(0)</f>
        <v>0</v>
      </c>
      <c r="BF3" s="34">
        <v>0</v>
      </c>
      <c r="BG3" s="32">
        <f>(BH3/CG24)</f>
        <v>0</v>
      </c>
      <c r="BH3" s="32">
        <f>(0/30*BF3)</f>
        <v>0</v>
      </c>
      <c r="BI3" s="32">
        <f>(0)</f>
        <v>0</v>
      </c>
      <c r="BJ3" s="32">
        <f>(0)</f>
        <v>0</v>
      </c>
      <c r="BK3" s="32">
        <f>(0)</f>
        <v>0</v>
      </c>
      <c r="BL3" s="34">
        <v>0</v>
      </c>
      <c r="BM3" s="32">
        <f>(BN3/CG24)</f>
        <v>0</v>
      </c>
      <c r="BN3" s="32">
        <f>(AS18*BL3)</f>
        <v>0</v>
      </c>
      <c r="BO3" s="34">
        <v>30</v>
      </c>
      <c r="BP3" s="32">
        <f>(BQ3/CG24)</f>
        <v>1045.5478923564535</v>
      </c>
      <c r="BQ3" s="32">
        <f>(880.78/30*BO3)</f>
        <v>880.78</v>
      </c>
      <c r="BS3" s="33">
        <f>(BT3/CG24)</f>
        <v>0</v>
      </c>
      <c r="BT3" s="33">
        <f>COUNTIF($A$1,"1S-Baş Makinist-Üniversite")*(300/30*G24)
+COUNTIF($A$1,"1S-Baş Makinist-MYO")*(300/30*G24)
+COUNTIF($A$1,"1S-Baş Makinist-Lise")*(300/30*G24)
+COUNTIF($A$1,"2S-Baş Makinist-Üniversite")*(300/30*G24)
+COUNTIF($A$1,"2S-Baş Makinist-MYO")*(300/30*G24)
+COUNTIF($A$1,"2S-Baş Makinist-Lise")*(300/30*G24)</f>
        <v>0</v>
      </c>
      <c r="BV3" s="33">
        <f>(BW3/CG24)</f>
        <v>0</v>
      </c>
      <c r="BW3" s="33">
        <f>COUNTIF($A$1,"1S-Kaptan-Üniversite")*(100/30*H24)
+COUNTIF($A$1,"1S-Kaptan-MYO")*(100/30*H24)
+COUNTIF($A$1,"1S-Kaptan-Lise")*(100/30*H24)
+COUNTIF($A$1,"2S-Kaptan-Üniversite")*(100/30*H24)
+COUNTIF($A$1,"2S-Kaptan-MYO")*(100/30*H24)
+COUNTIF($A$1,"2S-Kaptan-Lise")*(100/30*H24)
+COUNTIF($A$1,"2S-İkinci Kaptan-Üniversite")*(100/30*H24)
+COUNTIF($A$1,"2S-İkinci Kaptan-MYO")*(100/30*H24)
+COUNTIF($A$1,"2S-İkinci Kaptan-Lise")*(100/30*H24)</f>
        <v>0</v>
      </c>
      <c r="BX3" s="32">
        <f ca="1">(AU19+AX19+BA19+BD19+AT5+BG5+BM5+BP5+BS5+BV5+AW19)</f>
        <v>19264.457237348248</v>
      </c>
      <c r="BY3" s="32">
        <f ca="1">(AU19+AX19+BA19+BD19+AT5+BG5+BM5+BP5+BS5+BV5+AW19)</f>
        <v>19264.457237348248</v>
      </c>
      <c r="BZ3" s="32">
        <f ca="1">(BY3*0.00759*-1)</f>
        <v>-146.21723043147321</v>
      </c>
      <c r="CA3" s="32">
        <f>(AM4)</f>
        <v>6471</v>
      </c>
      <c r="CB3" s="32">
        <f>(CA3*0.00759*-1)</f>
        <v>-49.114890000000003</v>
      </c>
      <c r="CC3" s="32">
        <f ca="1">(BY3-CA3)</f>
        <v>12793.457237348248</v>
      </c>
      <c r="CD3" s="32">
        <f ca="1">(CC3*0.00759*-1)</f>
        <v>-97.102340431473209</v>
      </c>
      <c r="CK3" s="35" t="s">
        <v>59</v>
      </c>
      <c r="CL3" s="33">
        <v>207.43</v>
      </c>
      <c r="CM3" s="31">
        <v>1</v>
      </c>
      <c r="CN3" s="36">
        <v>0.5</v>
      </c>
      <c r="CO3" s="37">
        <v>0.03</v>
      </c>
      <c r="CP3" s="54"/>
    </row>
    <row r="4" spans="1:94" ht="39.950000000000003" customHeight="1" x14ac:dyDescent="0.25">
      <c r="A4" s="58"/>
      <c r="B4" s="59"/>
      <c r="C4" s="56"/>
      <c r="D4" s="56"/>
      <c r="E4" s="60"/>
      <c r="F4" s="56"/>
      <c r="G4" s="56"/>
      <c r="H4" s="56"/>
      <c r="I4" s="56"/>
      <c r="J4" s="56"/>
      <c r="K4" s="56"/>
      <c r="L4" s="56"/>
      <c r="M4" s="56"/>
      <c r="N4" s="56"/>
      <c r="O4" s="73"/>
      <c r="P4" s="18" t="s">
        <v>3</v>
      </c>
      <c r="Q4" s="19">
        <f t="shared" si="0"/>
        <v>0</v>
      </c>
      <c r="R4" s="19">
        <f>COUNTIF(S1,"Ocak")*(BE8)
+COUNTIF(S1,"Şubat")*(BE9)
+COUNTIF(S1,"Mart")*(BE10)
+COUNTIF(S1,"Nisan")*(BE11)
+COUNTIF(S1,"Mayıs")*(BE12)
+COUNTIF(S1,"Haziran")*(BE13)
+COUNTIF(S1,"Temmuz")*(BE14)
+COUNTIF(S1,"Ağustos")*(BE15)
+COUNTIF(S1,"Eylül")*(BE16)
+COUNTIF(S1,"Ekim")*(BE17)
+COUNTIF(S1,"Kasım")*(BE18)
+COUNTIF(S1,"Aralık")*(BE19)
+COUNTIF(S1,"Yıllık Toplam")*(BE20)
+COUNTIF(S1,"Yıllık Ortalama")*(BE21)</f>
        <v>0</v>
      </c>
      <c r="S4" s="69"/>
      <c r="T4" s="70"/>
      <c r="U4" s="24" t="s">
        <v>42</v>
      </c>
      <c r="V4" s="19" t="s">
        <v>49</v>
      </c>
      <c r="W4" s="71"/>
      <c r="X4" s="72"/>
      <c r="Y4" s="62"/>
      <c r="Z4" s="61"/>
      <c r="AA4" s="28" t="s">
        <v>82</v>
      </c>
      <c r="AB4" s="29">
        <v>272.16000000000003</v>
      </c>
      <c r="AC4" s="29">
        <v>272.16000000000003</v>
      </c>
      <c r="AD4" s="31" t="s">
        <v>0</v>
      </c>
      <c r="AE4" s="31" t="s">
        <v>0</v>
      </c>
      <c r="AF4" s="32">
        <f>($AF$11)</f>
        <v>535.16648499999997</v>
      </c>
      <c r="AG4" s="32">
        <f>($AG$11)</f>
        <v>758.27961899999991</v>
      </c>
      <c r="AH4" s="33">
        <f ca="1">(CB22*L26+AI4)*-1</f>
        <v>0</v>
      </c>
      <c r="AI4" s="33">
        <f ca="1">(BA19+BD19+AT5-AY5)*(L26*-1)</f>
        <v>0</v>
      </c>
      <c r="AJ4" s="33">
        <f ca="1">(AH4+AI4)</f>
        <v>0</v>
      </c>
      <c r="AK4" s="32" t="s">
        <v>0</v>
      </c>
      <c r="AL4" s="32">
        <f>(6471)</f>
        <v>6471</v>
      </c>
      <c r="AM4" s="32">
        <f>(6471)</f>
        <v>6471</v>
      </c>
      <c r="AN4" s="32">
        <f>(AL4-AM4)</f>
        <v>0</v>
      </c>
      <c r="AO4" s="32">
        <f>(AN4*0.00759*-1)</f>
        <v>0</v>
      </c>
      <c r="AP4" s="32">
        <f>(0)</f>
        <v>0</v>
      </c>
      <c r="AQ4" s="32">
        <f>(AL4-AP4)</f>
        <v>6471</v>
      </c>
      <c r="AR4" s="32">
        <f>(AQ4*0.14*-1)</f>
        <v>-905.94</v>
      </c>
      <c r="AS4" s="32">
        <f>(AQ4*0.01*-1)</f>
        <v>-64.710000000000008</v>
      </c>
      <c r="AT4" s="32">
        <f t="shared" ca="1" si="1"/>
        <v>1421.5576404000001</v>
      </c>
      <c r="AU4" s="32">
        <f>(48*F25)</f>
        <v>1248</v>
      </c>
      <c r="AV4" s="32">
        <f t="shared" si="2"/>
        <v>1248</v>
      </c>
      <c r="AW4" s="32">
        <f t="shared" ca="1" si="3"/>
        <v>1421.56</v>
      </c>
      <c r="AX4" s="32">
        <f t="shared" ca="1" si="4"/>
        <v>-10.7896404</v>
      </c>
      <c r="AY4" s="32">
        <f>($AG$9*F25)</f>
        <v>336.44</v>
      </c>
      <c r="AZ4" s="32">
        <f t="shared" ca="1" si="5"/>
        <v>1085.1199999999999</v>
      </c>
      <c r="BA4" s="32">
        <f t="shared" ca="1" si="6"/>
        <v>-151.91679999999999</v>
      </c>
      <c r="BB4" s="32">
        <f t="shared" ca="1" si="7"/>
        <v>-10.851199999999999</v>
      </c>
      <c r="BC4" s="32">
        <f>(0)</f>
        <v>0</v>
      </c>
      <c r="BD4" s="32">
        <f t="shared" ca="1" si="8"/>
        <v>1258.7919999999999</v>
      </c>
      <c r="BE4" s="32">
        <f>(0)</f>
        <v>0</v>
      </c>
      <c r="BF4" s="34">
        <v>0</v>
      </c>
      <c r="BG4" s="32">
        <f>(BH4/CG25)</f>
        <v>0</v>
      </c>
      <c r="BH4" s="32">
        <f>(0/30*BF4)</f>
        <v>0</v>
      </c>
      <c r="BI4" s="32">
        <f>(0)</f>
        <v>0</v>
      </c>
      <c r="BJ4" s="32">
        <f>(0)</f>
        <v>0</v>
      </c>
      <c r="BK4" s="32">
        <f>(0)</f>
        <v>0</v>
      </c>
      <c r="BL4" s="34">
        <v>0</v>
      </c>
      <c r="BM4" s="32">
        <f>(BN4/CG25)</f>
        <v>0</v>
      </c>
      <c r="BN4" s="32">
        <f>(AS19*BL4)</f>
        <v>0</v>
      </c>
      <c r="BO4" s="34">
        <v>30</v>
      </c>
      <c r="BP4" s="32">
        <f>(BQ4/CG25)</f>
        <v>1045.5478923564535</v>
      </c>
      <c r="BQ4" s="32">
        <f>(880.78/30*BO4)</f>
        <v>880.78</v>
      </c>
      <c r="BS4" s="33">
        <f>(BT4/CG25)</f>
        <v>0</v>
      </c>
      <c r="BT4" s="33">
        <f>COUNTIF($A$1,"1S-Baş Makinist-Üniversite")*(300/30*G25)
+COUNTIF($A$1,"1S-Baş Makinist-MYO")*(300/30*G25)
+COUNTIF($A$1,"1S-Baş Makinist-Lise")*(300/30*G25)
+COUNTIF($A$1,"2S-Baş Makinist-Üniversite")*(300/30*G25)
+COUNTIF($A$1,"2S-Baş Makinist-MYO")*(300/30*G25)
+COUNTIF($A$1,"2S-Baş Makinist-Lise")*(300/30*G25)</f>
        <v>0</v>
      </c>
      <c r="BV4" s="33">
        <f>(BW4/CG25)</f>
        <v>0</v>
      </c>
      <c r="BW4" s="33">
        <f>COUNTIF($A$1,"1S-Kaptan-Üniversite")*(100/30*H25)
+COUNTIF($A$1,"1S-Kaptan-MYO")*(100/30*H25)
+COUNTIF($A$1,"1S-Kaptan-Lise")*(100/30*H25)
+COUNTIF($A$1,"2S-Kaptan-Üniversite")*(100/30*H25)
+COUNTIF($A$1,"2S-Kaptan-MYO")*(100/30*H25)
+COUNTIF($A$1,"2S-Kaptan-Lise")*(100/30*H25)
+COUNTIF($A$1,"2S-İkinci Kaptan-Üniversite")*(100/30*H25)
+COUNTIF($A$1,"2S-İkinci Kaptan-MYO")*(100/30*H25)
+COUNTIF($A$1,"2S-İkinci Kaptan-Lise")*(100/30*H25)</f>
        <v>0</v>
      </c>
      <c r="BX4" s="32">
        <f t="shared" ref="BX4:CD4" ca="1" si="9">(BS15+BS16+BS17+BS18+BS19+AH5+AH6+AH7+AH8+BX1+BX2+BX3)</f>
        <v>163432.46664020335</v>
      </c>
      <c r="BY4" s="32">
        <f t="shared" ca="1" si="9"/>
        <v>163432.46664020335</v>
      </c>
      <c r="BZ4" s="32">
        <f t="shared" ca="1" si="9"/>
        <v>-1240.4524217991434</v>
      </c>
      <c r="CA4" s="32">
        <f t="shared" si="9"/>
        <v>68850</v>
      </c>
      <c r="CB4" s="32">
        <f t="shared" si="9"/>
        <v>-522.57150000000001</v>
      </c>
      <c r="CC4" s="32">
        <f t="shared" ca="1" si="9"/>
        <v>94582.466640203347</v>
      </c>
      <c r="CD4" s="32">
        <f t="shared" ca="1" si="9"/>
        <v>-717.88092179914338</v>
      </c>
      <c r="CK4" s="35" t="s">
        <v>60</v>
      </c>
      <c r="CL4" s="33">
        <v>1034.8399999999999</v>
      </c>
      <c r="CM4" s="31">
        <v>2</v>
      </c>
      <c r="CN4" s="36">
        <v>1</v>
      </c>
      <c r="CO4" s="37">
        <v>0.04</v>
      </c>
      <c r="CP4" s="54"/>
    </row>
    <row r="5" spans="1:94" ht="39.950000000000003" customHeight="1" x14ac:dyDescent="0.25">
      <c r="A5" s="58"/>
      <c r="B5" s="59"/>
      <c r="C5" s="56"/>
      <c r="D5" s="56"/>
      <c r="E5" s="60"/>
      <c r="F5" s="56"/>
      <c r="G5" s="56"/>
      <c r="H5" s="56"/>
      <c r="I5" s="56"/>
      <c r="J5" s="56"/>
      <c r="K5" s="56"/>
      <c r="L5" s="56"/>
      <c r="M5" s="56"/>
      <c r="N5" s="56"/>
      <c r="O5" s="73"/>
      <c r="P5" s="18" t="s">
        <v>6</v>
      </c>
      <c r="Q5" s="19">
        <f t="shared" ref="Q5" si="10">IF(R5&gt;0,R5,R5*-1)</f>
        <v>14374</v>
      </c>
      <c r="R5" s="19">
        <f>COUNTIF(S1,"Ocak")*(BH8)
+COUNTIF(S1,"Şubat")*(BH9)
+COUNTIF(S1,"Mart")*(BH10)
+COUNTIF(S1,"Nisan")*(BH11)
+COUNTIF(S1,"Mayıs")*(BH12)
+COUNTIF(S1,"Haziran")*(BH13)
+COUNTIF(S1,"Temmuz")*(BH14)
+COUNTIF(S1,"Ağustos")*(AU1)
+COUNTIF(S1,"Eylül")*(AU2)
+COUNTIF(S1,"Ekim")*(AU3)
+COUNTIF(S1,"Kasım")*(AU4)
+COUNTIF(S1,"Aralık")*(AU5)
+COUNTIF(S1,"Yıllık Toplam")*(AU6)
+COUNTIF(S1,"Yıllık Ortalama")*(AU7)</f>
        <v>14374</v>
      </c>
      <c r="S5" s="69"/>
      <c r="T5" s="70"/>
      <c r="U5" s="24" t="s">
        <v>28</v>
      </c>
      <c r="V5" s="26" t="s">
        <v>47</v>
      </c>
      <c r="W5" s="71"/>
      <c r="X5" s="72"/>
      <c r="Y5" s="62"/>
      <c r="Z5" s="61"/>
      <c r="AA5" s="28" t="s">
        <v>83</v>
      </c>
      <c r="AB5" s="29">
        <v>270.8</v>
      </c>
      <c r="AC5" s="29">
        <v>270.8</v>
      </c>
      <c r="AD5" s="31" t="s">
        <v>0</v>
      </c>
      <c r="AE5" s="31" t="s">
        <v>0</v>
      </c>
      <c r="AF5" s="32">
        <f>($AF$12)</f>
        <v>117.7225</v>
      </c>
      <c r="AG5" s="32">
        <f>($AG$12)</f>
        <v>166.8015</v>
      </c>
      <c r="AH5" s="32">
        <f ca="1">(AU13+AX13+BA13+BD13+BG13+BT13+BZ13+CC13+CF13+CI13+AW13)</f>
        <v>16130.060931177846</v>
      </c>
      <c r="AI5" s="32">
        <f ca="1">(AU13+AX13+BA13+BD13+BG13+BT13+BZ13+CC13+CF13+CI13+AW13)</f>
        <v>16130.060931177846</v>
      </c>
      <c r="AJ5" s="32">
        <f ca="1">(AI5*0.00759*-1)</f>
        <v>-122.42716246763986</v>
      </c>
      <c r="AK5" s="32">
        <f>(BL20)</f>
        <v>5004</v>
      </c>
      <c r="AL5" s="32">
        <f>(AK5*0.00759*-1)</f>
        <v>-37.980360000000005</v>
      </c>
      <c r="AM5" s="32">
        <f ca="1">(AI5-AK5)</f>
        <v>11126.060931177846</v>
      </c>
      <c r="AN5" s="32">
        <f ca="1">(AM5*0.00759*-1)</f>
        <v>-84.446802467639856</v>
      </c>
      <c r="AO5" s="32">
        <f ca="1">(AN5)</f>
        <v>-84.446802467639856</v>
      </c>
      <c r="AP5" s="32">
        <f>(BL13+BW13+AZ13)</f>
        <v>260.26</v>
      </c>
      <c r="AQ5" s="32">
        <f ca="1">(AI5-AP5)</f>
        <v>15869.800931177846</v>
      </c>
      <c r="AR5" s="32">
        <f ca="1">IF(AQ5&gt;=BK20*7.5,BK20*7.5,AQ5)</f>
        <v>15869.800931177846</v>
      </c>
      <c r="AS5" s="32">
        <f ca="1">(AR5*0.14*-1)</f>
        <v>-2221.7721303648987</v>
      </c>
      <c r="AT5" s="32">
        <f t="shared" ca="1" si="1"/>
        <v>1476.2320857</v>
      </c>
      <c r="AU5" s="32">
        <f>(48*F26)</f>
        <v>1296</v>
      </c>
      <c r="AV5" s="32">
        <f t="shared" si="2"/>
        <v>1296</v>
      </c>
      <c r="AW5" s="32">
        <f t="shared" ca="1" si="3"/>
        <v>1476.23</v>
      </c>
      <c r="AX5" s="32">
        <f t="shared" ca="1" si="4"/>
        <v>-11.204585700000001</v>
      </c>
      <c r="AY5" s="32">
        <f>($AG$9*F26)</f>
        <v>349.38</v>
      </c>
      <c r="AZ5" s="32">
        <f t="shared" ca="1" si="5"/>
        <v>1126.8499999999999</v>
      </c>
      <c r="BA5" s="32">
        <f t="shared" ca="1" si="6"/>
        <v>-157.75900000000001</v>
      </c>
      <c r="BB5" s="32">
        <f t="shared" ca="1" si="7"/>
        <v>-11.2685</v>
      </c>
      <c r="BC5" s="32">
        <f>(0)</f>
        <v>0</v>
      </c>
      <c r="BD5" s="32">
        <f t="shared" ca="1" si="8"/>
        <v>1307.2025000000001</v>
      </c>
      <c r="BE5" s="32">
        <f>(0)</f>
        <v>0</v>
      </c>
      <c r="BF5" s="34">
        <v>0</v>
      </c>
      <c r="BG5" s="32">
        <f>(BH5/CG26)</f>
        <v>0</v>
      </c>
      <c r="BH5" s="32">
        <f>(0/30*BF5)</f>
        <v>0</v>
      </c>
      <c r="BI5" s="32">
        <f>(0)</f>
        <v>0</v>
      </c>
      <c r="BJ5" s="32">
        <f>(0)</f>
        <v>0</v>
      </c>
      <c r="BK5" s="32">
        <f>(0)</f>
        <v>0</v>
      </c>
      <c r="BL5" s="34">
        <v>30</v>
      </c>
      <c r="BM5" s="32">
        <f>(BN5/CG26)</f>
        <v>6529.4808941014471</v>
      </c>
      <c r="BN5" s="32">
        <f>(AS20*BL5)</f>
        <v>5500.5</v>
      </c>
      <c r="BO5" s="34">
        <v>30</v>
      </c>
      <c r="BP5" s="32">
        <f>(BQ5/CG26)</f>
        <v>1045.5478923564535</v>
      </c>
      <c r="BQ5" s="32">
        <f>(880.78/30*BO5)</f>
        <v>880.78</v>
      </c>
      <c r="BS5" s="33">
        <f>(BT5/CG26)</f>
        <v>0</v>
      </c>
      <c r="BT5" s="33">
        <f>COUNTIF($A$1,"1S-Baş Makinist-Üniversite")*(300/30*G26)
+COUNTIF($A$1,"1S-Baş Makinist-MYO")*(300/30*G26)
+COUNTIF($A$1,"1S-Baş Makinist-Lise")*(300/30*G26)
+COUNTIF($A$1,"2S-Baş Makinist-Üniversite")*(300/30*G26)
+COUNTIF($A$1,"2S-Baş Makinist-MYO")*(300/30*G26)
+COUNTIF($A$1,"2S-Baş Makinist-Lise")*(300/30*G26)</f>
        <v>0</v>
      </c>
      <c r="BV5" s="33">
        <f>(BW5/CG26)</f>
        <v>0</v>
      </c>
      <c r="BW5" s="33">
        <f>COUNTIF($A$1,"1S-Kaptan-Üniversite")*(100/30*H26)
+COUNTIF($A$1,"1S-Kaptan-MYO")*(100/30*H26)
+COUNTIF($A$1,"1S-Kaptan-Lise")*(100/30*H26)
+COUNTIF($A$1,"2S-Kaptan-Üniversite")*(100/30*H26)
+COUNTIF($A$1,"2S-Kaptan-MYO")*(100/30*H26)
+COUNTIF($A$1,"2S-Kaptan-Lise")*(100/30*H26)
+COUNTIF($A$1,"2S-İkinci Kaptan-Üniversite")*(100/30*H26)
+COUNTIF($A$1,"2S-İkinci Kaptan-MYO")*(100/30*H26)
+COUNTIF($A$1,"2S-İkinci Kaptan-Lise")*(100/30*H26)</f>
        <v>0</v>
      </c>
      <c r="BX5" s="32">
        <f t="shared" ref="BX5" ca="1" si="11">(BX4/12)</f>
        <v>13619.372220016945</v>
      </c>
      <c r="BY5" s="32">
        <f t="shared" ref="BY5" ca="1" si="12">(BY4/12)</f>
        <v>13619.372220016945</v>
      </c>
      <c r="BZ5" s="32">
        <f t="shared" ref="BZ5" ca="1" si="13">(BZ4/12)</f>
        <v>-103.37103514992862</v>
      </c>
      <c r="CA5" s="32">
        <f t="shared" ref="CA5" si="14">(CA4/12)</f>
        <v>5737.5</v>
      </c>
      <c r="CB5" s="32">
        <f t="shared" ref="CB5" si="15">(CB4/12)</f>
        <v>-43.547625000000004</v>
      </c>
      <c r="CC5" s="32">
        <f t="shared" ref="CC5" ca="1" si="16">(CC4/12)</f>
        <v>7881.8722200169459</v>
      </c>
      <c r="CD5" s="32">
        <f t="shared" ref="CD5" ca="1" si="17">(CD4/12)</f>
        <v>-59.823410149928613</v>
      </c>
      <c r="CK5" s="35" t="s">
        <v>61</v>
      </c>
      <c r="CL5" s="33">
        <v>114.6</v>
      </c>
      <c r="CM5" s="31">
        <v>3</v>
      </c>
      <c r="CN5" s="36">
        <v>1.5</v>
      </c>
      <c r="CO5" s="37">
        <v>0.05</v>
      </c>
      <c r="CP5" s="54"/>
    </row>
    <row r="6" spans="1:94" ht="39.950000000000003" customHeight="1" x14ac:dyDescent="0.25">
      <c r="A6" s="58"/>
      <c r="B6" s="59"/>
      <c r="C6" s="56"/>
      <c r="D6" s="56"/>
      <c r="E6" s="60"/>
      <c r="F6" s="56"/>
      <c r="G6" s="56"/>
      <c r="H6" s="56"/>
      <c r="I6" s="56"/>
      <c r="J6" s="56"/>
      <c r="K6" s="56"/>
      <c r="L6" s="56"/>
      <c r="M6" s="56"/>
      <c r="N6" s="56"/>
      <c r="O6" s="73"/>
      <c r="P6" s="18" t="s">
        <v>33</v>
      </c>
      <c r="Q6" s="19">
        <f>IF(R6&gt;0,R6,R6*-1)</f>
        <v>19696.800000000003</v>
      </c>
      <c r="R6" s="19">
        <f>COUNTIF(S1,"Ocak")*(CA8)
+COUNTIF(S1,"Şubat")*(CA9)
+COUNTIF(S1,"Mart")*(CA10)
+COUNTIF(S1,"Nisan")*(CA11)
+COUNTIF(S1,"Mayıs")*(CA12)
+COUNTIF(S1,"Haziran")*(CA13)
+COUNTIF(S1,"Temmuz")*(CA14)
+COUNTIF(S1,"Ağustos")*(BN1)
+COUNTIF(S1,"Eylül")*(BN2)
+COUNTIF(S1,"Ekim")*(BN3)
+COUNTIF(S1,"Kasım")*(BN4)
+COUNTIF(S1,"Aralık")*(BN5)
+COUNTIF(S1,"Yıllık Toplam")*(BN6)
+COUNTIF(S1,"Yıllık Ortalama")*(BN7)</f>
        <v>19696.800000000003</v>
      </c>
      <c r="S6" s="69"/>
      <c r="T6" s="70"/>
      <c r="U6" s="24" t="s">
        <v>26</v>
      </c>
      <c r="V6" s="25" t="s">
        <v>102</v>
      </c>
      <c r="W6" s="71"/>
      <c r="X6" s="72"/>
      <c r="Y6" s="62"/>
      <c r="Z6" s="61"/>
      <c r="AA6" s="28" t="s">
        <v>71</v>
      </c>
      <c r="AB6" s="29">
        <v>269.44</v>
      </c>
      <c r="AC6" s="29">
        <v>269.44</v>
      </c>
      <c r="AD6" s="31" t="s">
        <v>0</v>
      </c>
      <c r="AE6" s="31" t="s">
        <v>0</v>
      </c>
      <c r="AF6" s="32">
        <f>($AF$13)</f>
        <v>58.861249999999998</v>
      </c>
      <c r="AG6" s="32">
        <f>($AG$13)</f>
        <v>83.400750000000002</v>
      </c>
      <c r="AH6" s="32">
        <f ca="1">(AU14+AX14+BA14+BD14+BG14+BT14+BZ14+CC14+CF14+CI14+AW14)</f>
        <v>12680.3018979468</v>
      </c>
      <c r="AI6" s="32">
        <f ca="1">(AU14+AX14+BA14+BD14+BG14+BT14+BZ14+CC14+CF14+CI14+AW14)</f>
        <v>12680.3018979468</v>
      </c>
      <c r="AJ6" s="32">
        <f ca="1">(AI6*0.00759*-1)</f>
        <v>-96.243491405416208</v>
      </c>
      <c r="AK6" s="32">
        <f>(BL21)</f>
        <v>6471</v>
      </c>
      <c r="AL6" s="32">
        <f>(AK6*0.00759*-1)</f>
        <v>-49.114890000000003</v>
      </c>
      <c r="AM6" s="32">
        <f ca="1">(AI6-AK6)</f>
        <v>6209.3018979467997</v>
      </c>
      <c r="AN6" s="32">
        <f ca="1">(AM6*0.00759*-1)</f>
        <v>-47.128601405416212</v>
      </c>
      <c r="AO6" s="32">
        <f ca="1">(AN6)</f>
        <v>-47.128601405416212</v>
      </c>
      <c r="AP6" s="32">
        <f>(BL14+BW14+AZ14)</f>
        <v>336.44</v>
      </c>
      <c r="AQ6" s="32">
        <f ca="1">(AI6-AP6)</f>
        <v>12343.861897946799</v>
      </c>
      <c r="AR6" s="32">
        <f ca="1">IF(AQ6&gt;=BK21*7.5,BK21*7.5,AQ6)</f>
        <v>12343.861897946799</v>
      </c>
      <c r="AS6" s="32">
        <f ca="1">(AR6*0.14*-1)</f>
        <v>-1728.1406657125522</v>
      </c>
      <c r="AT6" s="32">
        <f t="shared" ref="AT6:BK6" ca="1" si="18">(BG8+BG9+BG10+BG11+BG12+BG13+BG14+AT1+AT2+AT3+AT4+AT5)</f>
        <v>16422.631761700002</v>
      </c>
      <c r="AU6" s="32">
        <f t="shared" si="18"/>
        <v>14374</v>
      </c>
      <c r="AV6" s="32">
        <f t="shared" si="18"/>
        <v>14374</v>
      </c>
      <c r="AW6" s="32">
        <f t="shared" ca="1" si="18"/>
        <v>16422.629999999997</v>
      </c>
      <c r="AX6" s="32">
        <f t="shared" ca="1" si="18"/>
        <v>-124.64776169999998</v>
      </c>
      <c r="AY6" s="32">
        <f t="shared" si="18"/>
        <v>3596.07</v>
      </c>
      <c r="AZ6" s="32">
        <f t="shared" ca="1" si="18"/>
        <v>12826.559999999996</v>
      </c>
      <c r="BA6" s="32">
        <f t="shared" ca="1" si="18"/>
        <v>-1795.7184</v>
      </c>
      <c r="BB6" s="32">
        <f t="shared" ca="1" si="18"/>
        <v>-128.26559999999998</v>
      </c>
      <c r="BC6" s="32">
        <f t="shared" si="18"/>
        <v>0</v>
      </c>
      <c r="BD6" s="32">
        <f t="shared" ca="1" si="18"/>
        <v>14498.645999999997</v>
      </c>
      <c r="BE6" s="32">
        <f t="shared" si="18"/>
        <v>0</v>
      </c>
      <c r="BF6" s="34">
        <f t="shared" si="18"/>
        <v>0</v>
      </c>
      <c r="BG6" s="32">
        <f t="shared" si="18"/>
        <v>0</v>
      </c>
      <c r="BH6" s="32">
        <f t="shared" si="18"/>
        <v>0</v>
      </c>
      <c r="BI6" s="32">
        <f t="shared" si="18"/>
        <v>0</v>
      </c>
      <c r="BJ6" s="32">
        <f t="shared" si="18"/>
        <v>0</v>
      </c>
      <c r="BK6" s="32">
        <f t="shared" si="18"/>
        <v>0</v>
      </c>
      <c r="BL6" s="38" t="s">
        <v>0</v>
      </c>
      <c r="BM6" s="32">
        <f>(BZ8+BZ9+BZ10+BZ11+BZ12+BZ13+BZ14+BM1+BM2+BM3+BM4+BM5)</f>
        <v>23381.488823731917</v>
      </c>
      <c r="BN6" s="32">
        <f>(CA8+CA9+CA10+CA11+CA12+CA13+CA14+BN1+BN2+BN3+BN4+BN5)</f>
        <v>19696.800000000003</v>
      </c>
      <c r="BO6" s="34">
        <f>(CB8+CB9+CB10+CB11+CB12+CB13+CB14+BO1+BO2+BO3+BO4+BO5)</f>
        <v>360</v>
      </c>
      <c r="BP6" s="32">
        <f>(CC8+CC9+CC10+CC11+CC12+CC13+CC14+BP1+BP2+BP3+BP4+BP5)</f>
        <v>12546.574708277441</v>
      </c>
      <c r="BQ6" s="32">
        <f>(CD8+CD9+CD10+CD11+CD12+CD13+CD14+BQ1+BQ2+BQ3+BQ4+BQ5)</f>
        <v>10569.36</v>
      </c>
      <c r="BS6" s="32">
        <f>(CF8+CF9+CF10+CF11+CF12+CF13+CF14+BS1+BS2+BS3+BS4+BS5)</f>
        <v>0</v>
      </c>
      <c r="BT6" s="32">
        <f>(CG8+CG9+CG10+CG11+CG12+CG13+CG14+BT1+BT2+BT3+BT4+BT5)</f>
        <v>0</v>
      </c>
      <c r="BV6" s="32">
        <f>(CI8+CI9+CI10+CI11+CI12+CI13+CI14+BV1+BV2+BV3+BV4+BV5)</f>
        <v>0</v>
      </c>
      <c r="BW6" s="32">
        <f>(CJ9+CJ10+CJ11+CJ12+CJ13+CJ14+CJ15+BW1+BW2+BW3+BW4+BW5)</f>
        <v>0</v>
      </c>
      <c r="CK6" s="35" t="s">
        <v>62</v>
      </c>
      <c r="CL6" s="33">
        <v>114.6</v>
      </c>
      <c r="CM6" s="31">
        <v>4</v>
      </c>
      <c r="CN6" s="36">
        <v>2</v>
      </c>
      <c r="CO6" s="37">
        <v>0.06</v>
      </c>
      <c r="CP6" s="54"/>
    </row>
    <row r="7" spans="1:94" ht="39.950000000000003" customHeight="1" x14ac:dyDescent="0.25">
      <c r="A7" s="58"/>
      <c r="B7" s="59"/>
      <c r="C7" s="56"/>
      <c r="D7" s="56"/>
      <c r="E7" s="60"/>
      <c r="F7" s="56"/>
      <c r="G7" s="56"/>
      <c r="H7" s="56"/>
      <c r="I7" s="56"/>
      <c r="J7" s="56"/>
      <c r="K7" s="56"/>
      <c r="L7" s="56"/>
      <c r="M7" s="56"/>
      <c r="N7" s="56"/>
      <c r="O7" s="73"/>
      <c r="P7" s="18" t="s">
        <v>7</v>
      </c>
      <c r="Q7" s="19">
        <f>IF(R7&gt;0,R7,R7*-1)</f>
        <v>10569.36</v>
      </c>
      <c r="R7" s="19">
        <f>COUNTIF(S1,"Ocak")*(CD8)
+COUNTIF(S1,"Şubat")*(CD9)
+COUNTIF(S1,"Mart")*(CD10)
+COUNTIF(S1,"Nisan")*(CD11)
+COUNTIF(S1,"Mayıs")*(CD12)
+COUNTIF(S1,"Haziran")*(CD13)
+COUNTIF(S1,"Temmuz")*(CD14)
+COUNTIF(S1,"Ağustos")*(BQ1)
+COUNTIF(S1,"Eylül")*(BQ2)
+COUNTIF(S1,"Ekim")*(BQ3)
+COUNTIF(S1,"Kasım")*(BQ4)
+COUNTIF(S1,"Aralık")*(BQ5)
+COUNTIF(S1,"Yıllık Toplam")*(BQ6)
+COUNTIF(S1,"Yıllık Ortalama")*(BQ7)</f>
        <v>10569.36</v>
      </c>
      <c r="S7" s="69"/>
      <c r="T7" s="70"/>
      <c r="U7" s="24" t="s">
        <v>27</v>
      </c>
      <c r="V7" s="25" t="s">
        <v>103</v>
      </c>
      <c r="W7" s="71"/>
      <c r="X7" s="72"/>
      <c r="Y7" s="62"/>
      <c r="Z7" s="61"/>
      <c r="AA7" s="28" t="s">
        <v>84</v>
      </c>
      <c r="AB7" s="29">
        <v>210.92</v>
      </c>
      <c r="AC7" s="29">
        <v>210.92</v>
      </c>
      <c r="AD7" s="32" t="s">
        <v>0</v>
      </c>
      <c r="AE7" s="31" t="s">
        <v>0</v>
      </c>
      <c r="AF7" s="32">
        <f>(5004)</f>
        <v>5004</v>
      </c>
      <c r="AG7" s="32">
        <f>(6471)</f>
        <v>6471</v>
      </c>
      <c r="AH7" s="32">
        <f ca="1">(AU15+AX15+BA15+BD15+AT1+BG1+BM1+BP1+BS1+BV1+AW15)</f>
        <v>13230.128644382825</v>
      </c>
      <c r="AI7" s="32">
        <f ca="1">(AU15+AX15+BA15+BD15+AT1+BG1+BM1+BP1+BS1+BV1+AW15)</f>
        <v>13230.128644382825</v>
      </c>
      <c r="AJ7" s="32">
        <f ca="1">(AI7*0.00759*-1)</f>
        <v>-100.41667641086565</v>
      </c>
      <c r="AK7" s="32">
        <f>(BL22)</f>
        <v>6471</v>
      </c>
      <c r="AL7" s="32">
        <f>(AK7*0.00759*-1)</f>
        <v>-49.114890000000003</v>
      </c>
      <c r="AM7" s="32">
        <f ca="1">(AI7-AK7)</f>
        <v>6759.1286443828249</v>
      </c>
      <c r="AN7" s="32">
        <f ca="1">(AM7*0.00759*-1)</f>
        <v>-51.301786410865645</v>
      </c>
      <c r="AO7" s="32">
        <f ca="1">(AN7)</f>
        <v>-51.301786410865645</v>
      </c>
      <c r="AP7" s="32">
        <f>(AY1+BJ1+AZ15)</f>
        <v>349.38</v>
      </c>
      <c r="AQ7" s="32">
        <f ca="1">(AI7-AP7)</f>
        <v>12880.748644382826</v>
      </c>
      <c r="AR7" s="32">
        <f ca="1">IF(AQ7&gt;=BK22*7.5,BK22*7.5,AQ7)</f>
        <v>12880.748644382826</v>
      </c>
      <c r="AS7" s="32">
        <f ca="1">(AR7*0.14*-1)</f>
        <v>-1803.3048102135958</v>
      </c>
      <c r="AT7" s="32">
        <f ca="1">(AT6/12)</f>
        <v>1368.5526468083335</v>
      </c>
      <c r="AU7" s="32">
        <f>(AU6/12)</f>
        <v>1197.8333333333333</v>
      </c>
      <c r="AV7" s="32">
        <f t="shared" ref="AV7:BE7" si="19">(AV6/12)</f>
        <v>1197.8333333333333</v>
      </c>
      <c r="AW7" s="32">
        <f t="shared" ca="1" si="19"/>
        <v>1368.5524999999998</v>
      </c>
      <c r="AX7" s="32">
        <f t="shared" ca="1" si="19"/>
        <v>-10.387313474999997</v>
      </c>
      <c r="AY7" s="32">
        <f t="shared" si="19"/>
        <v>299.67250000000001</v>
      </c>
      <c r="AZ7" s="32">
        <f t="shared" ca="1" si="19"/>
        <v>1068.8799999999997</v>
      </c>
      <c r="BA7" s="32">
        <f t="shared" ca="1" si="19"/>
        <v>-149.64320000000001</v>
      </c>
      <c r="BB7" s="32">
        <f t="shared" ca="1" si="19"/>
        <v>-10.688799999999999</v>
      </c>
      <c r="BC7" s="32">
        <f t="shared" si="19"/>
        <v>0</v>
      </c>
      <c r="BD7" s="32">
        <f t="shared" ca="1" si="19"/>
        <v>1208.2204999999997</v>
      </c>
      <c r="BE7" s="32">
        <f t="shared" si="19"/>
        <v>0</v>
      </c>
      <c r="BF7" s="38" t="s">
        <v>0</v>
      </c>
      <c r="BG7" s="32">
        <f t="shared" ref="BG7:BK7" si="20">(BG6/12)</f>
        <v>0</v>
      </c>
      <c r="BH7" s="32">
        <f t="shared" si="20"/>
        <v>0</v>
      </c>
      <c r="BI7" s="32">
        <f t="shared" si="20"/>
        <v>0</v>
      </c>
      <c r="BJ7" s="32">
        <f t="shared" si="20"/>
        <v>0</v>
      </c>
      <c r="BK7" s="32">
        <f t="shared" si="20"/>
        <v>0</v>
      </c>
      <c r="BL7" s="38" t="s">
        <v>0</v>
      </c>
      <c r="BM7" s="32">
        <f t="shared" ref="BM7:BN7" si="21">(BM6/12)</f>
        <v>1948.4574019776599</v>
      </c>
      <c r="BN7" s="32">
        <f t="shared" si="21"/>
        <v>1641.4000000000003</v>
      </c>
      <c r="BO7" s="38" t="s">
        <v>0</v>
      </c>
      <c r="BP7" s="32">
        <f t="shared" ref="BP7:BQ7" si="22">(BP6/12)</f>
        <v>1045.5478923564535</v>
      </c>
      <c r="BQ7" s="32">
        <f t="shared" si="22"/>
        <v>880.78000000000009</v>
      </c>
      <c r="BS7" s="32">
        <f t="shared" ref="BS7:BT7" si="23">(BS6/12)</f>
        <v>0</v>
      </c>
      <c r="BT7" s="32">
        <f t="shared" si="23"/>
        <v>0</v>
      </c>
      <c r="BV7" s="32">
        <f t="shared" ref="BV7:BW7" si="24">(BV6/12)</f>
        <v>0</v>
      </c>
      <c r="BW7" s="32">
        <f t="shared" si="24"/>
        <v>0</v>
      </c>
      <c r="CK7" s="35" t="s">
        <v>63</v>
      </c>
      <c r="CL7" s="33">
        <v>171.9</v>
      </c>
      <c r="CM7" s="31">
        <v>5</v>
      </c>
      <c r="CN7" s="36">
        <v>2.5</v>
      </c>
      <c r="CO7" s="37">
        <v>7.0000000000000007E-2</v>
      </c>
      <c r="CP7" s="54"/>
    </row>
    <row r="8" spans="1:94" ht="39.950000000000003" customHeight="1" x14ac:dyDescent="0.25">
      <c r="A8" s="58"/>
      <c r="B8" s="59"/>
      <c r="C8" s="56"/>
      <c r="D8" s="56"/>
      <c r="E8" s="60"/>
      <c r="F8" s="56"/>
      <c r="G8" s="56"/>
      <c r="H8" s="56"/>
      <c r="I8" s="56"/>
      <c r="J8" s="56"/>
      <c r="K8" s="56"/>
      <c r="L8" s="56"/>
      <c r="M8" s="56"/>
      <c r="N8" s="56"/>
      <c r="O8" s="73"/>
      <c r="P8" s="18" t="s">
        <v>97</v>
      </c>
      <c r="Q8" s="19">
        <f t="shared" ref="Q8" si="25">IF(R8&gt;0,R8,R8*-1)</f>
        <v>0</v>
      </c>
      <c r="R8" s="19">
        <f>COUNTIF(S1,"Ocak")*(CG8)
+COUNTIF(S1,"Şubat")*(CG9)
+COUNTIF(S1,"Mart")*(CG10)
+COUNTIF(S1,"Nisan")*(CG11)
+COUNTIF(S1,"Mayıs")*(CG12)
+COUNTIF(S1,"Haziran")*(CG13)
+COUNTIF(S1,"Temmuz")*(CG14)
+COUNTIF(S1,"Ağustos")*(BT1)
+COUNTIF(S1,"Eylül")*(BT2)
+COUNTIF(S1,"Ekim")*(BT3)
+COUNTIF(S1,"Kasım")*(BT4)
+COUNTIF(S1,"Aralık")*(BT5)
+COUNTIF(S1,"Yıllık Toplam")*(BT6)
+COUNTIF(S1,"Yıllık Ortalama")*(BT7)</f>
        <v>0</v>
      </c>
      <c r="S8" s="69"/>
      <c r="T8" s="70"/>
      <c r="U8" s="24" t="s">
        <v>43</v>
      </c>
      <c r="V8" s="26" t="s">
        <v>48</v>
      </c>
      <c r="W8" s="71"/>
      <c r="X8" s="72"/>
      <c r="Y8" s="62"/>
      <c r="Z8" s="61"/>
      <c r="AA8" s="28" t="s">
        <v>85</v>
      </c>
      <c r="AB8" s="29">
        <v>210.24</v>
      </c>
      <c r="AC8" s="29">
        <v>210.24</v>
      </c>
      <c r="AD8" s="32" t="s">
        <v>0</v>
      </c>
      <c r="AE8" s="31" t="s">
        <v>0</v>
      </c>
      <c r="AF8" s="32">
        <f>(17)</f>
        <v>17</v>
      </c>
      <c r="AG8" s="32">
        <f>(25.5)</f>
        <v>25.5</v>
      </c>
      <c r="AH8" s="32">
        <f ca="1">(AU16+AX16+BA16+BD16+AT2+BG2+BM2+BP2+BS2+BV2+AW16)</f>
        <v>19239.70957947955</v>
      </c>
      <c r="AI8" s="32">
        <f ca="1">(AU16+AX16+BA16+BD16+AT2+BG2+BM2+BP2+BS2+BV2+AW16)</f>
        <v>19239.70957947955</v>
      </c>
      <c r="AJ8" s="32">
        <f ca="1">(AI8*0.00759*-1)</f>
        <v>-146.02939570824978</v>
      </c>
      <c r="AK8" s="32">
        <f>(AM1)</f>
        <v>6471</v>
      </c>
      <c r="AL8" s="32">
        <f>(AK8*0.00759*-1)</f>
        <v>-49.114890000000003</v>
      </c>
      <c r="AM8" s="32">
        <f ca="1">(AI8-AK8)</f>
        <v>12768.70957947955</v>
      </c>
      <c r="AN8" s="32">
        <f ca="1">(AM8*0.00759*-1)</f>
        <v>-96.914505708249791</v>
      </c>
      <c r="AO8" s="32">
        <f ca="1">(AN8)</f>
        <v>-96.914505708249791</v>
      </c>
      <c r="AP8" s="32">
        <f>(AY2+BJ2+AZ16)</f>
        <v>336.44</v>
      </c>
      <c r="AQ8" s="32">
        <f ca="1">(AI8-AP8)</f>
        <v>18903.269579479551</v>
      </c>
      <c r="AR8" s="32">
        <f ca="1">IF(AQ8&gt;=AL1*7.5,AL1*7.5,AQ8)</f>
        <v>18903.269579479551</v>
      </c>
      <c r="AS8" s="32">
        <f ca="1">(AR8*0.14*-1)</f>
        <v>-2646.4577411271375</v>
      </c>
      <c r="AT8" s="38" t="s">
        <v>0</v>
      </c>
      <c r="AU8" s="39">
        <f t="shared" ref="AU8:AU19" si="26">(AV8/CG15)</f>
        <v>5333.3056350233255</v>
      </c>
      <c r="AV8" s="32">
        <f t="shared" ref="AV8:AV19" si="27">(AS9*AJ9)</f>
        <v>4492.83</v>
      </c>
      <c r="AW8" s="33">
        <f t="shared" ref="AW8:AW19" si="28">COUNTIF(I15,"Yok")*(0)
+COUNTIF(I15,"Cenaze Yardımı (Anne-Baba)")*($CL$2+$CL$2*0.00759)
+COUNTIF(I15,"Cenaze Yardımı (Eş-Çocuk)")*($CL$3+$CL$3*0.00759)
+COUNTIF(I15,"Cenaze Yardımı (İşçi-Tabii Sebepler Sonucu)")*($CL$4+$CL$4*0.00759)
+COUNTIF(I15,"Eğitim Yardımı (Çocuk-İlköğretim)")*($CL$5)
+COUNTIF(I15,"Eğitim Yardımı (Çocuk-Ortaöğretim)")*($CL$6)
+COUNTIF(I15,"Eğitim Yardımı (Çocuk-Lise)")*($CL$7)
+COUNTIF(I15,"Eğitim Yardımı (Çocuk-Yükseköğretim)")*($CL$8)
+COUNTIF(I15,"Evlilik Yardımı")*($CL$9+$CL$9*0.00759)
+COUNTIF(I15,"İş Kazası veya Meslek Hastalığı Tazminatı")*($CL$10+$CL$10*0.00759)
+COUNTIF(J15,"Yok")*(0)
+COUNTIF(J15,"Cenaze Yardımı (Anne-Baba)")*($CL$2+$CL$2*0.00759)
+COUNTIF(J15,"Cenaze Yardımı (Eş-Çocuk)")*($CL$3+$CL$3*0.00759)
+COUNTIF(J15,"Cenaze Yardımı (İşçi-Tabii Sebepler Sonucu)")*($CL$4+$CL$4*0.00759)
+COUNTIF(J15,"Eğitim Yardımı (Çocuk-İlköğretim)")*($CL$5)
+COUNTIF(J15,"Eğitim Yardımı (Çocuk-Ortaöğretim)")*($CL$6)
+COUNTIF(J15,"Eğitim Yardımı (Çocuk-Lise)")*($CL$7)
+COUNTIF(J15,"Eğitim Yardımı (Çocuk-Yükseköğretim)")*($CL$8)
+COUNTIF(J15,"Evlilik Yardımı")*($CL$9+$CL$9*0.00759)
+COUNTIF(J15,"İş Kazası veya Meslek Hastalığı Tazminatı")*($CL$10+$CL$10*0.00759)
+COUNTIF(K15,"Yok")*(0)
+COUNTIF(K15,"Cenaze Yardımı (Anne-Baba)")*($CL$2+$CL$2*0.00759)
+COUNTIF(K15,"Cenaze Yardımı (Eş-Çocuk)")*($CL$3+$CL$3*0.00759)
+COUNTIF(K15,"Cenaze Yardımı (İşçi-Tabii Sebepler Sonucu)")*($CL$4+$CL$4*0.00759)
+COUNTIF(K15,"Eğitim Yardımı (Çocuk-İlköğretim)")*($CL$5)
+COUNTIF(K15,"Eğitim Yardımı (Çocuk-Ortaöğretim)")*($CL$6)
+COUNTIF(K15,"Eğitim Yardımı (Çocuk-Lise)")*($CL$7)
+COUNTIF(K15,"Eğitim Yardımı (Çocuk-Yükseköğretim)")*($CL$8)
+COUNTIF(K15,"Evlilik Yardımı")*($CL$9+$CL$9*0.00759)
+COUNTIF(K15,"İş Kazası veya Meslek Hastalığı Tazminatı")*($CL$10+$CL$10*0.00759)</f>
        <v>0</v>
      </c>
      <c r="AX8" s="32">
        <f t="shared" ref="AX8:AX19" si="29">(AY8/CG15)</f>
        <v>0</v>
      </c>
      <c r="AY8" s="32">
        <f t="shared" ref="AY8:AY19" si="30">(0.0211*365*C15)</f>
        <v>0</v>
      </c>
      <c r="AZ8" s="33">
        <f t="shared" ref="AZ8:AZ19" si="31">COUNTIF(I15,"Yok")*(0)
+COUNTIF(I15,"Cenaze Yardımı (Anne-Baba)")*($CL$2+$CL$2*0.00759)
+COUNTIF(I15,"Cenaze Yardımı (Eş-Çocuk)")*($CL$3+$CL$3*0.00759)
+COUNTIF(I15,"Cenaze Yardımı (İşçi-Tabii Sebepler Sonucu)")*($CL$4+$CL$4*0.00759)
+COUNTIF(I15,"Eğitim Yardımı (Çocuk-İlköğretim)")*(0)
+COUNTIF(I15,"Eğitim Yardımı (Çocuk-Ortaöğretim)")*(0)
+COUNTIF(I15,"Eğitim Yardımı (Çocuk-Lise)")*(0)
+COUNTIF(I15,"Eğitim Yardımı (Çocuk-Yükseköğretim)")*(0)
+COUNTIF(I15,"Evlilik Yardımı")*($CL$9+$CL$9*0.00759)
+COUNTIF(I15,"İş Kazası veya Meslek Hastalığı Tazminatı")*($CL$10+$CL$10*0.00759)
+COUNTIF(J15,"Yok")*(0)
+COUNTIF(J15,"Cenaze Yardımı (Anne-Baba)")*($CL$2+$CL$2*0.00759)
+COUNTIF(J15,"Cenaze Yardımı (Eş-Çocuk)")*($CL$3+$CL$3*0.00759)
+COUNTIF(J15,"Cenaze Yardımı (İşçi-Tabii Sebepler Sonucu)")*($CL$4+$CL$4*0.00759)
+COUNTIF(J15,"Eğitim Yardımı (Çocuk-İlköğretim)")*(0)
+COUNTIF(J15,"Eğitim Yardımı (Çocuk-Ortaöğretim)")*(0)
+COUNTIF(J15,"Eğitim Yardımı (Çocuk-Lise)")*(0)
+COUNTIF(J15,"Eğitim Yardımı (Çocuk-Yükseköğretim)")*(0)
+COUNTIF(J15,"Evlilik Yardımı")*($CL$9+$CL$9*0.00759)
+COUNTIF(J15,"İş Kazası veya Meslek Hastalığı Tazminatı")*($CL$10+$CL$10*0.00759)
+COUNTIF(K15,"Yok")*(0)
+COUNTIF(K15,"Cenaze Yardımı (Anne-Baba)")*($CL$2+$CL$2*0.00759)
+COUNTIF(K15,"Cenaze Yardımı (Eş-Çocuk)")*($CL$3+$CL$3*0.00759)
+COUNTIF(K15,"Cenaze Yardımı (İşçi-Tabii Sebepler Sonucu)")*($CL$4+$CL$4*0.00759)
+COUNTIF(K15,"Eğitim Yardımı (Çocuk-İlköğretim)")*(0)
+COUNTIF(K15,"Eğitim Yardımı (Çocuk-Ortaöğretim)")*(0)
+COUNTIF(K15,"Eğitim Yardımı (Çocuk-Lise)")*(0)
+COUNTIF(K15,"Eğitim Yardımı (Çocuk-Yükseköğretim)")*(0)
+COUNTIF(K15,"Evlilik Yardımı")*($CL$9+$CL$9*0.00759)
+COUNTIF(K15,"İş Kazası veya Meslek Hastalığı Tazminatı")*($CL$10+$CL$10*0.00759)</f>
        <v>0</v>
      </c>
      <c r="BA8" s="32">
        <f t="shared" ref="BA8:BA19" si="32">(BB8/CG15)</f>
        <v>2544.072808964756</v>
      </c>
      <c r="BB8" s="32">
        <f t="shared" ref="BB8:BB19" si="33">(AS9/8*1.3*D15)</f>
        <v>2143.1523750000001</v>
      </c>
      <c r="BC8" s="33">
        <f t="shared" ref="BC8:BC19" si="34">COUNTIF(I15,"Yok")*(0)
+COUNTIF(I15,"Cenaze Yardımı (Anne-Baba)")*($CL$2)
+COUNTIF(I15,"Cenaze Yardımı (Eş-Çocuk)")*($CL$3)
+COUNTIF(I15,"Cenaze Yardımı (İşçi-Tabii Sebepler Sonucu)")*($CL$4)
+COUNTIF(I15,"Eğitim Yardımı (Çocuk-İlköğretim)")*($CL$5*CG15)
+COUNTIF(I15,"Eğitim Yardımı (Çocuk-Ortaöğretim)")*($CL$6*CG15)
+COUNTIF(I15,"Eğitim Yardımı (Çocuk-Lise)")*($CL$7*CG15)
+COUNTIF(I15,"Eğitim Yardımı (Çocuk-Yükseköğretim)")*($CL$8*CG15)
+COUNTIF(I15,"Evlilik Yardımı")*($CL$9)
+COUNTIF(I15,"İş Kazası veya Meslek Hastalığı Tazminatı")*($CL$10)
+COUNTIF(J15,"Yok")*(0)
+COUNTIF(J15,"Cenaze Yardımı (Anne-Baba)")*($CL$2)
+COUNTIF(J15,"Cenaze Yardımı (Eş-Çocuk)")*($CL$3)
+COUNTIF(J15,"Cenaze Yardımı (İşçi-Tabii Sebepler Sonucu)")*($CL$4)
+COUNTIF(J15,"Eğitim Yardımı (Çocuk-İlköğretim)")*($CL$5*CG15)
+COUNTIF(J15,"Eğitim Yardımı (Çocuk-Ortaöğretim)")*($CL$6*CG15)
+COUNTIF(J15,"Eğitim Yardımı (Çocuk-Lise)")*($CL$7*CG15)
+COUNTIF(J15,"Eğitim Yardımı (Çocuk-Yükseköğretim)")*($CL$8*CG15)
+COUNTIF(J15,"Evlilik Yardımı")*($CL$9)
+COUNTIF(J15,"İş Kazası veya Meslek Hastalığı Tazminatı")*($CL$10)
+COUNTIF(K15,"Yok")*(0)
+COUNTIF(K15,"Cenaze Yardımı (Anne-Baba)")*($CL$2)
+COUNTIF(K15,"Cenaze Yardımı (Eş-Çocuk)")*($CL$3)
+COUNTIF(K15,"Cenaze Yardımı (İşçi-Tabii Sebepler Sonucu)")*($CL$4)
+COUNTIF(K15,"Eğitim Yardımı (Çocuk-İlköğretim)")*($CL$5*CG15)
+COUNTIF(K15,"Eğitim Yardımı (Çocuk-Ortaöğretim)")*($CL$6*CG15)
+COUNTIF(K15,"Eğitim Yardımı (Çocuk-Lise)")*($CL$7*CG15)
+COUNTIF(K15,"Eğitim Yardımı (Çocuk-Yükseköğretim)")*($CL$8*CG15)
+COUNTIF(K15,"Evlilik Yardımı")*($CL$9)
+COUNTIF(K15,"İş Kazası veya Meslek Hastalığı Tazminatı")*($CL$10)</f>
        <v>0</v>
      </c>
      <c r="BD8" s="32">
        <f t="shared" ref="BD8:BD19" si="35">(BE8/CG15)</f>
        <v>0</v>
      </c>
      <c r="BE8" s="32">
        <f t="shared" ref="BE8:BE19" si="36">(AS9/8*2*E15)</f>
        <v>0</v>
      </c>
      <c r="BG8" s="32">
        <f ca="1">(BI8+BK8*-1+BN8*-1+BO8*-1+BR8*-1)</f>
        <v>1033.8917251</v>
      </c>
      <c r="BH8" s="32">
        <f>(35*F15)</f>
        <v>910</v>
      </c>
      <c r="BI8" s="32">
        <f>(BH8)</f>
        <v>910</v>
      </c>
      <c r="BJ8" s="32">
        <f ca="1">ROUND((BI8+BK8*-1+BN8*-1+BO8*-1+BR8*-1),2)</f>
        <v>1033.8900000000001</v>
      </c>
      <c r="BK8" s="32">
        <f ca="1">(BJ8*0.00759*-1)</f>
        <v>-7.8472251000000011</v>
      </c>
      <c r="BL8" s="32">
        <f t="shared" ref="BL8:BL13" si="37">($AF$9*F15)</f>
        <v>260.26</v>
      </c>
      <c r="BM8" s="32">
        <f ca="1">(BJ8-BL8)</f>
        <v>773.63000000000011</v>
      </c>
      <c r="BN8" s="32">
        <f ca="1">(BM8*0.14*-1)</f>
        <v>-108.30820000000003</v>
      </c>
      <c r="BO8" s="32">
        <f ca="1">(BM8*0.01*-1)</f>
        <v>-7.7363000000000008</v>
      </c>
      <c r="BP8" s="32">
        <f>(0)</f>
        <v>0</v>
      </c>
      <c r="BQ8" s="32">
        <f ca="1">(BJ8+BN8+BO8-BP8)</f>
        <v>917.84550000000002</v>
      </c>
      <c r="BR8" s="32">
        <f>(0)</f>
        <v>0</v>
      </c>
      <c r="BS8" s="34">
        <v>0</v>
      </c>
      <c r="BT8" s="32">
        <f t="shared" ref="BT8:BT14" si="38">(BU8/CG15)</f>
        <v>0</v>
      </c>
      <c r="BU8" s="32">
        <f>(0/30*BS8)</f>
        <v>0</v>
      </c>
      <c r="BV8" s="32">
        <f>(0)</f>
        <v>0</v>
      </c>
      <c r="BW8" s="32">
        <f>(0)</f>
        <v>0</v>
      </c>
      <c r="BX8" s="32">
        <f>(0)</f>
        <v>0</v>
      </c>
      <c r="BY8" s="34">
        <v>0</v>
      </c>
      <c r="BZ8" s="32">
        <f t="shared" ref="BZ8:BZ14" si="39">(CA8/CG15)</f>
        <v>0</v>
      </c>
      <c r="CA8" s="32">
        <f t="shared" ref="CA8:CA14" si="40">(AS9*BY8)</f>
        <v>0</v>
      </c>
      <c r="CB8" s="34">
        <v>30</v>
      </c>
      <c r="CC8" s="32">
        <f t="shared" ref="CC8:CC14" si="41">(CD8/CG15)</f>
        <v>1045.5478923564535</v>
      </c>
      <c r="CD8" s="32">
        <f>(880.78/30*CB8)</f>
        <v>880.78</v>
      </c>
      <c r="CF8" s="33">
        <f t="shared" ref="CF8:CF14" si="42">(CG8/CG15)</f>
        <v>0</v>
      </c>
      <c r="CG8" s="33">
        <f t="shared" ref="CG8:CG14" si="43">COUNTIF($A$1,"1S-Baş Makinist-Üniversite")*(300/30*G15)
+COUNTIF($A$1,"1S-Baş Makinist-MYO")*(300/30*G15)
+COUNTIF($A$1,"1S-Baş Makinist-Lise")*(300/30*G15)
+COUNTIF($A$1,"2S-Baş Makinist-Üniversite")*(300/30*G15)
+COUNTIF($A$1,"2S-Baş Makinist-MYO")*(300/30*G15)
+COUNTIF($A$1,"2S-Baş Makinist-Lise")*(300/30*G15)</f>
        <v>0</v>
      </c>
      <c r="CI8" s="33">
        <f t="shared" ref="CI8:CI14" si="44">(CJ9/CG15)</f>
        <v>0</v>
      </c>
      <c r="CK8" s="35" t="s">
        <v>64</v>
      </c>
      <c r="CL8" s="33">
        <v>229.2</v>
      </c>
      <c r="CM8" s="31">
        <v>6</v>
      </c>
      <c r="CN8" s="36">
        <v>3</v>
      </c>
      <c r="CO8" s="37">
        <v>0.08</v>
      </c>
      <c r="CP8" s="54"/>
    </row>
    <row r="9" spans="1:94" ht="39.950000000000003" customHeight="1" x14ac:dyDescent="0.25">
      <c r="A9" s="58"/>
      <c r="B9" s="59"/>
      <c r="C9" s="56"/>
      <c r="D9" s="56"/>
      <c r="E9" s="60"/>
      <c r="F9" s="56"/>
      <c r="G9" s="56"/>
      <c r="H9" s="56"/>
      <c r="I9" s="56"/>
      <c r="J9" s="56"/>
      <c r="K9" s="56"/>
      <c r="L9" s="56"/>
      <c r="M9" s="56"/>
      <c r="N9" s="56"/>
      <c r="O9" s="73"/>
      <c r="P9" s="18" t="s">
        <v>98</v>
      </c>
      <c r="Q9" s="19">
        <f t="shared" ref="Q9" si="45">IF(R9&gt;0,R9,R9*-1)</f>
        <v>0</v>
      </c>
      <c r="R9" s="19">
        <f>COUNTIF(S1,"Ocak")*(CJ9)
+COUNTIF(S1,"Şubat")*(CJ10)
+COUNTIF(S1,"Mart")*(CJ11)
+COUNTIF(S1,"Nisan")*(CJ12)
+COUNTIF(S1,"Mayıs")*(CJ13)
+COUNTIF(S1,"Haziran")*(CJ14)
+COUNTIF(S1,"Temmuz")*(CJ15)
+COUNTIF(S1,"Ağustos")*(BW1)
+COUNTIF(S1,"Eylül")*(BW2)
+COUNTIF(S1,"Ekim")*(BW3)
+COUNTIF(S1,"Kasım")*(BW4)
+COUNTIF(S1,"Aralık")*(BW5)
+COUNTIF(S1,"Yıllık Toplam")*(BW6)
+COUNTIF(S1,"Yıllık Ortalama")*(BW7)</f>
        <v>0</v>
      </c>
      <c r="S9" s="69"/>
      <c r="T9" s="70"/>
      <c r="U9" s="24" t="s">
        <v>38</v>
      </c>
      <c r="V9" s="25" t="s">
        <v>104</v>
      </c>
      <c r="W9" s="71"/>
      <c r="X9" s="72"/>
      <c r="Y9" s="62"/>
      <c r="Z9" s="61"/>
      <c r="AA9" s="28" t="s">
        <v>72</v>
      </c>
      <c r="AB9" s="29">
        <v>209.56</v>
      </c>
      <c r="AC9" s="29">
        <v>209.56</v>
      </c>
      <c r="AD9" s="30">
        <f>(6%)</f>
        <v>0.06</v>
      </c>
      <c r="AE9" s="31" t="s">
        <v>0</v>
      </c>
      <c r="AF9" s="40">
        <f>(10.01)</f>
        <v>10.01</v>
      </c>
      <c r="AG9" s="40">
        <f>(12.94)</f>
        <v>12.94</v>
      </c>
      <c r="AH9" s="41">
        <v>44562</v>
      </c>
      <c r="AI9" s="42">
        <f t="shared" ref="AI9:AI20" si="46">EOMONTH(AH9,0)</f>
        <v>44592</v>
      </c>
      <c r="AJ9" s="43">
        <f>DAY(AI9)</f>
        <v>31</v>
      </c>
      <c r="AK9" s="43">
        <f>NETWORKDAYS.INTL(AH9,AI9,11)</f>
        <v>26</v>
      </c>
      <c r="AL9" s="43">
        <f>(AJ9-AK9)</f>
        <v>5</v>
      </c>
      <c r="AM9" s="38" t="s">
        <v>0</v>
      </c>
      <c r="AN9" s="40">
        <f t="shared" ref="AN9:AN20" si="47">(AO9/CG15)</f>
        <v>172.04211725881697</v>
      </c>
      <c r="AO9" s="40">
        <f t="shared" ref="AO9:AO14" si="48">COUNTIF($A$1,"1S-Kaptan-Üniversite")*($AB$1)
+COUNTIF($A$1,"1S-Kaptan-MYO")*($AB$2)
+COUNTIF($A$1,"1S-Kaptan-Lise")*($AB$3)
+COUNTIF($A$1,"1S-Baş Makinist-Üniversite")*($AB$4)
+COUNTIF($A$1,"1S-Baş Makinist-MYO")*($AB$5)
+COUNTIF($A$1,"1S-Baş Makinist-Lise")*($AB$6)
+COUNTIF($A$1,"2S-Kaptan-Üniversite")*($AB$7)
+COUNTIF($A$1,"2S-Kaptan-MYO")*($AB$8)
+COUNTIF($A$1,"2S-Kaptan-Lise")*($AB$9)
+COUNTIF($A$1,"2S-Baş Makinist-Üniversite")*($AB$10)
+COUNTIF($A$1,"2S-Baş Makinist-MYO")*($AB$11)
+COUNTIF($A$1,"2S-Baş Makinist-Lise")*($AB$12)
+COUNTIF($A$1,"2S-İkinci Kaptan-Üniversite")*($AB$13)
+COUNTIF($A$1,"2S-İkinci Kaptan-MYO")*($AB$14)
+COUNTIF($A$1,"2S-İkinci Kaptan-Lise")*($AB$15)
+COUNTIF($A$1,"2S-Usta Gemici-Üniversite")*($AB$16)
+COUNTIF($A$1,"2S-Usta Gemici-MYO")*($AB$17)
+COUNTIF($A$1,"2S-Usta Gemici-Lise")*($AB$18)
+COUNTIF($A$1,"2S-Yağcı-Üniversite")*($AB$19)
+COUNTIF($A$1,"2S-Yağcı-MYO")*($AB$20)
+COUNTIF($A$1,"2S-Yağcı-Lise")*($AB$21)</f>
        <v>144.93</v>
      </c>
      <c r="AP9" s="40">
        <f t="shared" ref="AP9:AP20" si="49">(AQ9/CG15)</f>
        <v>172.04211725881697</v>
      </c>
      <c r="AQ9" s="40">
        <f t="shared" ref="AQ9:AQ14" si="50">COUNTIF($A$1,"1S-Kaptan-Üniversite")*($AB$1)
+COUNTIF($A$1,"1S-Kaptan-MYO")*($AB$2)
+COUNTIF($A$1,"1S-Kaptan-Lise")*($AB$3)
+COUNTIF($A$1,"1S-Baş Makinist-Üniversite")*($AB$4)
+COUNTIF($A$1,"1S-Baş Makinist-MYO")*($AB$5)
+COUNTIF($A$1,"1S-Baş Makinist-Lise")*($AB$6)
+COUNTIF($A$1,"2S-Kaptan-Üniversite")*($AB$7)
+COUNTIF($A$1,"2S-Kaptan-MYO")*($AB$8)
+COUNTIF($A$1,"2S-Kaptan-Lise")*($AB$9)
+COUNTIF($A$1,"2S-Baş Makinist-Üniversite")*($AB$10)
+COUNTIF($A$1,"2S-Baş Makinist-MYO")*($AB$11)
+COUNTIF($A$1,"2S-Baş Makinist-Lise")*($AB$12)
+COUNTIF($A$1,"2S-İkinci Kaptan-Üniversite")*($AB$13)
+COUNTIF($A$1,"2S-İkinci Kaptan-MYO")*($AB$14)
+COUNTIF($A$1,"2S-İkinci Kaptan-Lise")*($AB$15)
+COUNTIF($A$1,"2S-Usta Gemici-Üniversite")*($AB$16)
+COUNTIF($A$1,"2S-Usta Gemici-MYO")*($AB$17)
+COUNTIF($A$1,"2S-Usta Gemici-Lise")*($AB$18)
+COUNTIF($A$1,"2S-Yağcı-Üniversite")*($AB$19)
+COUNTIF($A$1,"2S-Yağcı-MYO")*($AB$20)
+COUNTIF($A$1,"2S-Yağcı-Lise")*($AB$21)</f>
        <v>144.93</v>
      </c>
      <c r="AR9" s="40">
        <f t="shared" ref="AR9:AR20" si="51">(AS9/CG15)</f>
        <v>172.04211725881697</v>
      </c>
      <c r="AS9" s="40">
        <f t="shared" ref="AS9:AS14" si="52">COUNTIF($A$1,"1S-Kaptan-Üniversite")*($AB$1)
+COUNTIF($A$1,"1S-Kaptan-MYO")*($AB$2)
+COUNTIF($A$1,"1S-Kaptan-Lise")*($AB$3)
+COUNTIF($A$1,"1S-Baş Makinist-Üniversite")*($AB$4)
+COUNTIF($A$1,"1S-Baş Makinist-MYO")*($AB$5)
+COUNTIF($A$1,"1S-Baş Makinist-Lise")*($AB$6)
+COUNTIF($A$1,"2S-Kaptan-Üniversite")*($AB$7)
+COUNTIF($A$1,"2S-Kaptan-MYO")*($AB$8)
+COUNTIF($A$1,"2S-Kaptan-Lise")*($AB$9)
+COUNTIF($A$1,"2S-Baş Makinist-Üniversite")*($AB$10)
+COUNTIF($A$1,"2S-Baş Makinist-MYO")*($AB$11)
+COUNTIF($A$1,"2S-Baş Makinist-Lise")*($AB$12)
+COUNTIF($A$1,"2S-İkinci Kaptan-Üniversite")*($AB$13)
+COUNTIF($A$1,"2S-İkinci Kaptan-MYO")*($AB$14)
+COUNTIF($A$1,"2S-İkinci Kaptan-Lise")*($AB$15)
+COUNTIF($A$1,"2S-Usta Gemici-Üniversite")*($AB$16)
+COUNTIF($A$1,"2S-Usta Gemici-MYO")*($AB$17)
+COUNTIF($A$1,"2S-Usta Gemici-Lise")*($AB$18)
+COUNTIF($A$1,"2S-Yağcı-Üniversite")*($AB$19)
+COUNTIF($A$1,"2S-Yağcı-MYO")*($AB$20)
+COUNTIF($A$1,"2S-Yağcı-Lise")*($AB$21)</f>
        <v>144.93</v>
      </c>
      <c r="AT9" s="38" t="s">
        <v>0</v>
      </c>
      <c r="AU9" s="39">
        <f t="shared" si="26"/>
        <v>4817.1792832468755</v>
      </c>
      <c r="AV9" s="32">
        <f t="shared" si="27"/>
        <v>4058.04</v>
      </c>
      <c r="AW9" s="33">
        <f t="shared" si="28"/>
        <v>0</v>
      </c>
      <c r="AX9" s="32">
        <f t="shared" si="29"/>
        <v>0</v>
      </c>
      <c r="AY9" s="32">
        <f t="shared" si="30"/>
        <v>0</v>
      </c>
      <c r="AZ9" s="33">
        <f t="shared" si="31"/>
        <v>0</v>
      </c>
      <c r="BA9" s="32">
        <f t="shared" si="32"/>
        <v>3131.166534110469</v>
      </c>
      <c r="BB9" s="32">
        <f t="shared" si="33"/>
        <v>2637.7260000000001</v>
      </c>
      <c r="BC9" s="33">
        <f t="shared" si="34"/>
        <v>0</v>
      </c>
      <c r="BD9" s="32">
        <f t="shared" si="35"/>
        <v>0</v>
      </c>
      <c r="BE9" s="32">
        <f t="shared" si="36"/>
        <v>0</v>
      </c>
      <c r="BG9" s="32">
        <f t="shared" ref="BG9:BG13" ca="1" si="53">(BI9+BK9*-1+BN9*-1+BO9*-1+BR9*-1)</f>
        <v>954.36159240000006</v>
      </c>
      <c r="BH9" s="32">
        <f>(35*F16)</f>
        <v>840</v>
      </c>
      <c r="BI9" s="32">
        <f t="shared" ref="BI9:BI13" si="54">(BH9)</f>
        <v>840</v>
      </c>
      <c r="BJ9" s="32">
        <f t="shared" ref="BJ9:BJ13" ca="1" si="55">ROUND((BI9+BK9*-1+BN9*-1+BO9*-1+BR9*-1),2)</f>
        <v>954.36</v>
      </c>
      <c r="BK9" s="32">
        <f t="shared" ref="BK9:BK13" ca="1" si="56">(BJ9*0.00759*-1)</f>
        <v>-7.2435924000000007</v>
      </c>
      <c r="BL9" s="32">
        <f t="shared" si="37"/>
        <v>240.24</v>
      </c>
      <c r="BM9" s="32">
        <f t="shared" ref="BM9:BM13" ca="1" si="57">(BJ9-BL9)</f>
        <v>714.12</v>
      </c>
      <c r="BN9" s="32">
        <f t="shared" ref="BN9:BN13" ca="1" si="58">(BM9*0.14*-1)</f>
        <v>-99.976800000000011</v>
      </c>
      <c r="BO9" s="32">
        <f t="shared" ref="BO9:BO13" ca="1" si="59">(BM9*0.01*-1)</f>
        <v>-7.1412000000000004</v>
      </c>
      <c r="BP9" s="32">
        <f>(0)</f>
        <v>0</v>
      </c>
      <c r="BQ9" s="32">
        <f t="shared" ref="BQ9:BQ13" ca="1" si="60">(BJ9+BN9+BO9-BP9)</f>
        <v>847.24199999999996</v>
      </c>
      <c r="BR9" s="32">
        <f>(0)</f>
        <v>0</v>
      </c>
      <c r="BS9" s="34">
        <v>0</v>
      </c>
      <c r="BT9" s="32">
        <f t="shared" si="38"/>
        <v>0</v>
      </c>
      <c r="BU9" s="32">
        <f t="shared" ref="BU9:BU14" si="61">(0/30*BS9)</f>
        <v>0</v>
      </c>
      <c r="BV9" s="32">
        <f>(0)</f>
        <v>0</v>
      </c>
      <c r="BW9" s="32">
        <f>(0)</f>
        <v>0</v>
      </c>
      <c r="BX9" s="32">
        <f>(0)</f>
        <v>0</v>
      </c>
      <c r="BY9" s="34">
        <v>0</v>
      </c>
      <c r="BZ9" s="32">
        <f t="shared" si="39"/>
        <v>0</v>
      </c>
      <c r="CA9" s="32">
        <f t="shared" si="40"/>
        <v>0</v>
      </c>
      <c r="CB9" s="34">
        <v>30</v>
      </c>
      <c r="CC9" s="32">
        <f t="shared" si="41"/>
        <v>1045.5478923564535</v>
      </c>
      <c r="CD9" s="32">
        <f t="shared" ref="CD9:CD14" si="62">(880.78/30*CB9)</f>
        <v>880.78</v>
      </c>
      <c r="CF9" s="33">
        <f t="shared" si="42"/>
        <v>0</v>
      </c>
      <c r="CG9" s="33">
        <f t="shared" si="43"/>
        <v>0</v>
      </c>
      <c r="CI9" s="33">
        <f t="shared" si="44"/>
        <v>0</v>
      </c>
      <c r="CJ9" s="33">
        <f t="shared" ref="CJ9:CJ15" si="63">COUNTIF($A$1,"1S-Kaptan-Üniversite")*(100/30*H15)
+COUNTIF($A$1,"1S-Kaptan-MYO")*(100/30*H15)
+COUNTIF($A$1,"1S-Kaptan-Lise")*(100/30*H15)
+COUNTIF($A$1,"2S-Kaptan-Üniversite")*(100/30*H15)
+COUNTIF($A$1,"2S-Kaptan-MYO")*(100/30*H15)
+COUNTIF($A$1,"2S-Kaptan-Lise")*(100/30*H15)
+COUNTIF($A$1,"2S-İkinci Kaptan-Üniversite")*(100/30*H15)
+COUNTIF($A$1,"2S-İkinci Kaptan-MYO")*(100/30*H15)
+COUNTIF($A$1,"2S-İkinci Kaptan-Lise")*(100/30*H15)</f>
        <v>0</v>
      </c>
      <c r="CK9" s="35" t="s">
        <v>8</v>
      </c>
      <c r="CL9" s="33">
        <v>229.2</v>
      </c>
      <c r="CM9" s="31">
        <v>7</v>
      </c>
      <c r="CN9" s="36">
        <v>3.5</v>
      </c>
      <c r="CO9" s="37">
        <v>0.09</v>
      </c>
      <c r="CP9" s="54"/>
    </row>
    <row r="10" spans="1:94" ht="39.950000000000003" customHeight="1" x14ac:dyDescent="0.25">
      <c r="A10" s="58"/>
      <c r="B10" s="59"/>
      <c r="C10" s="56"/>
      <c r="D10" s="56"/>
      <c r="E10" s="60"/>
      <c r="F10" s="56"/>
      <c r="G10" s="56"/>
      <c r="H10" s="56"/>
      <c r="I10" s="56"/>
      <c r="J10" s="56"/>
      <c r="K10" s="56"/>
      <c r="L10" s="56"/>
      <c r="M10" s="56"/>
      <c r="N10" s="56"/>
      <c r="O10" s="73"/>
      <c r="P10" s="18" t="s">
        <v>35</v>
      </c>
      <c r="Q10" s="19">
        <f t="shared" ref="Q10:Q19" si="64">IF(R10&gt;0,R10,R10*-1)</f>
        <v>0</v>
      </c>
      <c r="R10" s="19">
        <f>COUNTIF(S1,"Ocak")*(BC8)
+COUNTIF(S1,"Şubat")*(BC9)
+COUNTIF(S1,"Mart")*(BC10)
+COUNTIF(S1,"Nisan")*(BC11)
+COUNTIF(S1,"Mayıs")*(BC12)
+COUNTIF(S1,"Haziran")*(BC13)
+COUNTIF(S1,"Temmuz")*(BC14)
+COUNTIF(S1,"Ağustos")*(BC15)
+COUNTIF(S1,"Eylül")*(BC16)
+COUNTIF(S1,"Ekim")*(BC17)
+COUNTIF(S1,"Kasım")*(BC18)
+COUNTIF(S1,"Aralık")*(BC19)
+COUNTIF(S1,"Yıllık Toplam")*(BC20)
+COUNTIF(S1,"Yıllık Ortalama")*(BC21)</f>
        <v>0</v>
      </c>
      <c r="S10" s="69"/>
      <c r="T10" s="70"/>
      <c r="U10" s="24" t="s">
        <v>44</v>
      </c>
      <c r="V10" s="26" t="s">
        <v>99</v>
      </c>
      <c r="W10" s="71"/>
      <c r="X10" s="72"/>
      <c r="Y10" s="62"/>
      <c r="Z10" s="61"/>
      <c r="AA10" s="28" t="s">
        <v>86</v>
      </c>
      <c r="AB10" s="29">
        <v>210.92</v>
      </c>
      <c r="AC10" s="29">
        <v>210.92</v>
      </c>
      <c r="AD10" s="32" t="s">
        <v>0</v>
      </c>
      <c r="AE10" s="31" t="s">
        <v>0</v>
      </c>
      <c r="AF10" s="32">
        <f>(34)</f>
        <v>34</v>
      </c>
      <c r="AG10" s="32">
        <f>(51)</f>
        <v>51</v>
      </c>
      <c r="AH10" s="42">
        <f>(AI9+1)</f>
        <v>44593</v>
      </c>
      <c r="AI10" s="42">
        <f t="shared" si="46"/>
        <v>44620</v>
      </c>
      <c r="AJ10" s="43">
        <f t="shared" ref="AJ10:AJ20" si="65">DAY(AI10)</f>
        <v>28</v>
      </c>
      <c r="AK10" s="43">
        <f t="shared" ref="AK10:AK20" si="66">NETWORKDAYS.INTL(AH10,AI10,11)</f>
        <v>24</v>
      </c>
      <c r="AL10" s="43">
        <f t="shared" ref="AL10:AL20" si="67">(AJ10-AK10)</f>
        <v>4</v>
      </c>
      <c r="AM10" s="38" t="s">
        <v>0</v>
      </c>
      <c r="AN10" s="40">
        <f t="shared" si="47"/>
        <v>172.04211725881697</v>
      </c>
      <c r="AO10" s="40">
        <f t="shared" si="48"/>
        <v>144.93</v>
      </c>
      <c r="AP10" s="40">
        <f t="shared" si="49"/>
        <v>172.04211725881697</v>
      </c>
      <c r="AQ10" s="40">
        <f t="shared" si="50"/>
        <v>144.93</v>
      </c>
      <c r="AR10" s="40">
        <f t="shared" si="51"/>
        <v>172.04211725881697</v>
      </c>
      <c r="AS10" s="40">
        <f t="shared" si="52"/>
        <v>144.93</v>
      </c>
      <c r="AT10" s="38" t="s">
        <v>0</v>
      </c>
      <c r="AU10" s="39">
        <f t="shared" si="26"/>
        <v>5333.3056350233255</v>
      </c>
      <c r="AV10" s="32">
        <f t="shared" si="27"/>
        <v>4492.83</v>
      </c>
      <c r="AW10" s="33">
        <f t="shared" si="28"/>
        <v>0</v>
      </c>
      <c r="AX10" s="32">
        <f t="shared" si="29"/>
        <v>0</v>
      </c>
      <c r="AY10" s="32">
        <f t="shared" si="30"/>
        <v>0</v>
      </c>
      <c r="AZ10" s="33">
        <f t="shared" si="31"/>
        <v>0</v>
      </c>
      <c r="BA10" s="32">
        <f t="shared" si="32"/>
        <v>2544.072808964756</v>
      </c>
      <c r="BB10" s="32">
        <f t="shared" si="33"/>
        <v>2143.1523750000001</v>
      </c>
      <c r="BC10" s="33">
        <f t="shared" si="34"/>
        <v>0</v>
      </c>
      <c r="BD10" s="32">
        <f t="shared" si="35"/>
        <v>0</v>
      </c>
      <c r="BE10" s="32">
        <f t="shared" si="36"/>
        <v>0</v>
      </c>
      <c r="BG10" s="32">
        <f t="shared" ca="1" si="53"/>
        <v>1490.3190287999998</v>
      </c>
      <c r="BH10" s="32">
        <f>(48*F17)</f>
        <v>1296</v>
      </c>
      <c r="BI10" s="32">
        <f t="shared" si="54"/>
        <v>1296</v>
      </c>
      <c r="BJ10" s="32">
        <f t="shared" ca="1" si="55"/>
        <v>1490.32</v>
      </c>
      <c r="BK10" s="32">
        <f t="shared" ca="1" si="56"/>
        <v>-11.3115288</v>
      </c>
      <c r="BL10" s="32">
        <f t="shared" si="37"/>
        <v>270.27</v>
      </c>
      <c r="BM10" s="32">
        <f t="shared" ca="1" si="57"/>
        <v>1220.05</v>
      </c>
      <c r="BN10" s="32">
        <f t="shared" ca="1" si="58"/>
        <v>-170.80700000000002</v>
      </c>
      <c r="BO10" s="32">
        <f t="shared" ca="1" si="59"/>
        <v>-12.2005</v>
      </c>
      <c r="BP10" s="32">
        <f>(0)</f>
        <v>0</v>
      </c>
      <c r="BQ10" s="32">
        <f t="shared" ca="1" si="60"/>
        <v>1307.3125</v>
      </c>
      <c r="BR10" s="32">
        <f>(0)</f>
        <v>0</v>
      </c>
      <c r="BS10" s="34">
        <v>0</v>
      </c>
      <c r="BT10" s="32">
        <f t="shared" si="38"/>
        <v>0</v>
      </c>
      <c r="BU10" s="32">
        <f t="shared" si="61"/>
        <v>0</v>
      </c>
      <c r="BV10" s="32">
        <f>(0)</f>
        <v>0</v>
      </c>
      <c r="BW10" s="32">
        <f>(0)</f>
        <v>0</v>
      </c>
      <c r="BX10" s="32">
        <f>(0)</f>
        <v>0</v>
      </c>
      <c r="BY10" s="34">
        <v>30</v>
      </c>
      <c r="BZ10" s="32">
        <f t="shared" si="39"/>
        <v>5161.2635177645097</v>
      </c>
      <c r="CA10" s="32">
        <f t="shared" si="40"/>
        <v>4347.9000000000005</v>
      </c>
      <c r="CB10" s="34">
        <v>30</v>
      </c>
      <c r="CC10" s="32">
        <f t="shared" si="41"/>
        <v>1045.5478923564535</v>
      </c>
      <c r="CD10" s="32">
        <f t="shared" si="62"/>
        <v>880.78</v>
      </c>
      <c r="CF10" s="33">
        <f t="shared" si="42"/>
        <v>0</v>
      </c>
      <c r="CG10" s="33">
        <f t="shared" si="43"/>
        <v>0</v>
      </c>
      <c r="CI10" s="33">
        <f t="shared" si="44"/>
        <v>0</v>
      </c>
      <c r="CJ10" s="33">
        <f t="shared" si="63"/>
        <v>0</v>
      </c>
      <c r="CK10" s="35" t="s">
        <v>34</v>
      </c>
      <c r="CL10" s="33">
        <v>9100</v>
      </c>
      <c r="CM10" s="31">
        <v>8</v>
      </c>
      <c r="CN10" s="36">
        <v>4</v>
      </c>
      <c r="CO10" s="37">
        <v>0.1</v>
      </c>
      <c r="CP10" s="54"/>
    </row>
    <row r="11" spans="1:94" ht="39.950000000000003" customHeight="1" x14ac:dyDescent="0.25">
      <c r="A11" s="58"/>
      <c r="B11" s="59"/>
      <c r="C11" s="56"/>
      <c r="D11" s="56"/>
      <c r="E11" s="60"/>
      <c r="F11" s="56"/>
      <c r="G11" s="56"/>
      <c r="H11" s="56"/>
      <c r="I11" s="56"/>
      <c r="J11" s="56"/>
      <c r="K11" s="56"/>
      <c r="L11" s="56"/>
      <c r="M11" s="56"/>
      <c r="N11" s="56"/>
      <c r="O11" s="73"/>
      <c r="P11" s="18" t="s">
        <v>36</v>
      </c>
      <c r="Q11" s="19">
        <f t="shared" si="64"/>
        <v>2104.3339941358722</v>
      </c>
      <c r="R11" s="19">
        <f>COUNTIF(S1,"Ocak")*(AD23)*-1
+COUNTIF(S1,"Şubat")*(AD24)*-1
+COUNTIF(S1,"Mart")*(AD25)*-1
+COUNTIF(S1,"Nisan")*(AD26)*-1
+COUNTIF(S1,"Mayıs")*(AD27)*-1
+COUNTIF(S1,"Haziran")*(AD28)*-1
+COUNTIF(S1,"Temmuz")*(AD29)*-1
+COUNTIF(S1,"Ağustos")*(AD30)*-1
+COUNTIF(S1,"Eylül")*(AD31)*-1
+COUNTIF(S1,"Ekim")*(AD32)*-1
+COUNTIF(S1,"Kasım")*(AD33)*-1
+COUNTIF(S1,"Aralık")*(AD34)*-1
+COUNTIF(S1,"Yıllık Toplam")*(AD35)*-1
+COUNTIF(S1,"Yıllık Ortalama")*(AD36)*-1</f>
        <v>2104.3339941358722</v>
      </c>
      <c r="S11" s="69"/>
      <c r="T11" s="70"/>
      <c r="U11" s="24" t="s">
        <v>25</v>
      </c>
      <c r="V11" s="25" t="s">
        <v>105</v>
      </c>
      <c r="W11" s="71"/>
      <c r="X11" s="72"/>
      <c r="Y11" s="62"/>
      <c r="Z11" s="61"/>
      <c r="AA11" s="28" t="s">
        <v>87</v>
      </c>
      <c r="AB11" s="29">
        <v>210.24</v>
      </c>
      <c r="AC11" s="29">
        <v>210.24</v>
      </c>
      <c r="AD11" s="44">
        <f>(2273)</f>
        <v>2273</v>
      </c>
      <c r="AE11" s="31" t="s">
        <v>0</v>
      </c>
      <c r="AF11" s="32">
        <f>($AD$16*$AD$11)</f>
        <v>535.16648499999997</v>
      </c>
      <c r="AG11" s="32">
        <f>($AE$16*$AD$11)</f>
        <v>758.27961899999991</v>
      </c>
      <c r="AH11" s="42">
        <f t="shared" ref="AH11:AH20" si="68">(AI10+1)</f>
        <v>44621</v>
      </c>
      <c r="AI11" s="42">
        <f t="shared" si="46"/>
        <v>44651</v>
      </c>
      <c r="AJ11" s="43">
        <f t="shared" si="65"/>
        <v>31</v>
      </c>
      <c r="AK11" s="43">
        <f t="shared" si="66"/>
        <v>27</v>
      </c>
      <c r="AL11" s="43">
        <f t="shared" si="67"/>
        <v>4</v>
      </c>
      <c r="AM11" s="38" t="s">
        <v>0</v>
      </c>
      <c r="AN11" s="40">
        <f t="shared" si="47"/>
        <v>172.04211725881697</v>
      </c>
      <c r="AO11" s="40">
        <f t="shared" si="48"/>
        <v>144.93</v>
      </c>
      <c r="AP11" s="40">
        <f t="shared" si="49"/>
        <v>172.04211725881697</v>
      </c>
      <c r="AQ11" s="40">
        <f t="shared" si="50"/>
        <v>144.93</v>
      </c>
      <c r="AR11" s="40">
        <f t="shared" si="51"/>
        <v>172.04211725881697</v>
      </c>
      <c r="AS11" s="40">
        <f t="shared" si="52"/>
        <v>144.93</v>
      </c>
      <c r="AT11" s="38" t="s">
        <v>0</v>
      </c>
      <c r="AU11" s="39">
        <f t="shared" si="26"/>
        <v>5161.2635177645097</v>
      </c>
      <c r="AV11" s="32">
        <f t="shared" si="27"/>
        <v>4347.9000000000005</v>
      </c>
      <c r="AW11" s="33">
        <f t="shared" si="28"/>
        <v>0</v>
      </c>
      <c r="AX11" s="32">
        <f t="shared" si="29"/>
        <v>0</v>
      </c>
      <c r="AY11" s="32">
        <f t="shared" si="30"/>
        <v>0</v>
      </c>
      <c r="AZ11" s="33">
        <f t="shared" si="31"/>
        <v>0</v>
      </c>
      <c r="BA11" s="32">
        <f t="shared" si="32"/>
        <v>3522.5623508742779</v>
      </c>
      <c r="BB11" s="32">
        <f t="shared" si="33"/>
        <v>2967.4417500000004</v>
      </c>
      <c r="BC11" s="33">
        <f t="shared" si="34"/>
        <v>0</v>
      </c>
      <c r="BD11" s="32">
        <f t="shared" si="35"/>
        <v>0</v>
      </c>
      <c r="BE11" s="32">
        <f t="shared" si="36"/>
        <v>0</v>
      </c>
      <c r="BG11" s="32">
        <f t="shared" ca="1" si="53"/>
        <v>1435.1215607999998</v>
      </c>
      <c r="BH11" s="32">
        <f>(48*F18)</f>
        <v>1248</v>
      </c>
      <c r="BI11" s="32">
        <f t="shared" si="54"/>
        <v>1248</v>
      </c>
      <c r="BJ11" s="32">
        <f t="shared" ca="1" si="55"/>
        <v>1435.12</v>
      </c>
      <c r="BK11" s="32">
        <f t="shared" ca="1" si="56"/>
        <v>-10.8925608</v>
      </c>
      <c r="BL11" s="32">
        <f t="shared" si="37"/>
        <v>260.26</v>
      </c>
      <c r="BM11" s="32">
        <f t="shared" ca="1" si="57"/>
        <v>1174.8599999999999</v>
      </c>
      <c r="BN11" s="32">
        <f t="shared" ca="1" si="58"/>
        <v>-164.4804</v>
      </c>
      <c r="BO11" s="32">
        <f t="shared" ca="1" si="59"/>
        <v>-11.7486</v>
      </c>
      <c r="BP11" s="32">
        <f>(0)</f>
        <v>0</v>
      </c>
      <c r="BQ11" s="32">
        <f t="shared" ca="1" si="60"/>
        <v>1258.8910000000001</v>
      </c>
      <c r="BR11" s="32">
        <f>(0)</f>
        <v>0</v>
      </c>
      <c r="BS11" s="34">
        <v>0</v>
      </c>
      <c r="BT11" s="32">
        <f t="shared" si="38"/>
        <v>0</v>
      </c>
      <c r="BU11" s="32">
        <f t="shared" si="61"/>
        <v>0</v>
      </c>
      <c r="BV11" s="32">
        <f>(0)</f>
        <v>0</v>
      </c>
      <c r="BW11" s="32">
        <f>(0)</f>
        <v>0</v>
      </c>
      <c r="BX11" s="32">
        <f>(0)</f>
        <v>0</v>
      </c>
      <c r="BY11" s="34">
        <v>0</v>
      </c>
      <c r="BZ11" s="32">
        <f t="shared" si="39"/>
        <v>0</v>
      </c>
      <c r="CA11" s="32">
        <f t="shared" si="40"/>
        <v>0</v>
      </c>
      <c r="CB11" s="34">
        <v>30</v>
      </c>
      <c r="CC11" s="32">
        <f t="shared" si="41"/>
        <v>1045.5478923564535</v>
      </c>
      <c r="CD11" s="32">
        <f t="shared" si="62"/>
        <v>880.78</v>
      </c>
      <c r="CF11" s="33">
        <f t="shared" si="42"/>
        <v>0</v>
      </c>
      <c r="CG11" s="33">
        <f t="shared" si="43"/>
        <v>0</v>
      </c>
      <c r="CI11" s="33">
        <f t="shared" si="44"/>
        <v>0</v>
      </c>
      <c r="CJ11" s="33">
        <f t="shared" si="63"/>
        <v>0</v>
      </c>
      <c r="CK11" s="45" t="s">
        <v>0</v>
      </c>
      <c r="CL11" s="45" t="s">
        <v>0</v>
      </c>
      <c r="CM11" s="31">
        <v>9</v>
      </c>
      <c r="CN11" s="36">
        <v>4.5</v>
      </c>
      <c r="CO11" s="37">
        <v>0.11</v>
      </c>
      <c r="CP11" s="54"/>
    </row>
    <row r="12" spans="1:94" ht="39.950000000000003" customHeight="1" x14ac:dyDescent="0.25">
      <c r="A12" s="58"/>
      <c r="B12" s="59"/>
      <c r="C12" s="56"/>
      <c r="D12" s="56"/>
      <c r="E12" s="60"/>
      <c r="F12" s="56"/>
      <c r="G12" s="56"/>
      <c r="H12" s="56"/>
      <c r="I12" s="56"/>
      <c r="J12" s="56"/>
      <c r="K12" s="56"/>
      <c r="L12" s="56"/>
      <c r="M12" s="56"/>
      <c r="N12" s="56"/>
      <c r="O12" s="73"/>
      <c r="P12" s="18" t="s">
        <v>30</v>
      </c>
      <c r="Q12" s="19">
        <f t="shared" ca="1" si="64"/>
        <v>0</v>
      </c>
      <c r="R12" s="19">
        <f ca="1">COUNTIF(S1,"Ocak")*(AI23)*-1
+COUNTIF(S1,"Şubat")*(AI24)*-1
+COUNTIF(S1,"Mart")*(AI25)*-1
+COUNTIF(S1,"Nisan")*(AI26)*-1
+COUNTIF(S1,"Mayıs")*(AI27)*-1
+COUNTIF(S1,"Haziran")*(AI28)*-1
+COUNTIF(S1,"Temmuz")*(AI29)*-1
+COUNTIF(S1,"Ağustos")*(AI30)*-1
+COUNTIF(S1,"Eylül")*(AJ1)*-1
+COUNTIF(S1,"Ekim")*(AJ2)*-1
+COUNTIF(S1,"Kasım")*(AJ3)*-1
+COUNTIF(S1,"Aralık")*(AJ4)*-1
+COUNTIF(S1,"Yıllık Toplam")*(AI35)*-1
+COUNTIF(S1,"Yıllık Ortalama")*(AI36)*-1</f>
        <v>0</v>
      </c>
      <c r="S12" s="69"/>
      <c r="T12" s="70"/>
      <c r="U12" s="24" t="s">
        <v>37</v>
      </c>
      <c r="V12" s="25" t="s">
        <v>100</v>
      </c>
      <c r="W12" s="71"/>
      <c r="X12" s="72"/>
      <c r="Y12" s="62"/>
      <c r="Z12" s="61"/>
      <c r="AA12" s="28" t="s">
        <v>73</v>
      </c>
      <c r="AB12" s="29">
        <v>209.56</v>
      </c>
      <c r="AC12" s="29">
        <v>209.56</v>
      </c>
      <c r="AD12" s="44">
        <f>(250)</f>
        <v>250</v>
      </c>
      <c r="AE12" s="31" t="s">
        <v>0</v>
      </c>
      <c r="AF12" s="32">
        <f>($AD$16*$AD$12*2)</f>
        <v>117.7225</v>
      </c>
      <c r="AG12" s="32">
        <f>($AE$16*$AD$12*2)</f>
        <v>166.8015</v>
      </c>
      <c r="AH12" s="42">
        <f t="shared" si="68"/>
        <v>44652</v>
      </c>
      <c r="AI12" s="42">
        <f t="shared" si="46"/>
        <v>44681</v>
      </c>
      <c r="AJ12" s="43">
        <f t="shared" si="65"/>
        <v>30</v>
      </c>
      <c r="AK12" s="43">
        <f t="shared" si="66"/>
        <v>26</v>
      </c>
      <c r="AL12" s="43">
        <f t="shared" si="67"/>
        <v>4</v>
      </c>
      <c r="AM12" s="38" t="s">
        <v>0</v>
      </c>
      <c r="AN12" s="40">
        <f t="shared" si="47"/>
        <v>172.04211725881697</v>
      </c>
      <c r="AO12" s="40">
        <f t="shared" si="48"/>
        <v>144.93</v>
      </c>
      <c r="AP12" s="40">
        <f t="shared" si="49"/>
        <v>172.04211725881697</v>
      </c>
      <c r="AQ12" s="40">
        <f t="shared" si="50"/>
        <v>144.93</v>
      </c>
      <c r="AR12" s="40">
        <f t="shared" si="51"/>
        <v>172.04211725881697</v>
      </c>
      <c r="AS12" s="40">
        <f t="shared" si="52"/>
        <v>144.93</v>
      </c>
      <c r="AT12" s="38" t="s">
        <v>0</v>
      </c>
      <c r="AU12" s="39">
        <f t="shared" si="26"/>
        <v>5333.3056350233255</v>
      </c>
      <c r="AV12" s="32">
        <f t="shared" si="27"/>
        <v>4492.83</v>
      </c>
      <c r="AW12" s="33">
        <f t="shared" si="28"/>
        <v>0</v>
      </c>
      <c r="AX12" s="32">
        <f t="shared" si="29"/>
        <v>0</v>
      </c>
      <c r="AY12" s="32">
        <f t="shared" si="30"/>
        <v>0</v>
      </c>
      <c r="AZ12" s="33">
        <f t="shared" si="31"/>
        <v>0</v>
      </c>
      <c r="BA12" s="32">
        <f t="shared" si="32"/>
        <v>2544.072808964756</v>
      </c>
      <c r="BB12" s="32">
        <f t="shared" si="33"/>
        <v>2143.1523750000001</v>
      </c>
      <c r="BC12" s="33">
        <f t="shared" si="34"/>
        <v>0</v>
      </c>
      <c r="BD12" s="32">
        <f t="shared" si="35"/>
        <v>0</v>
      </c>
      <c r="BE12" s="32">
        <f t="shared" si="36"/>
        <v>0</v>
      </c>
      <c r="BG12" s="32">
        <f t="shared" ca="1" si="53"/>
        <v>1435.1215607999998</v>
      </c>
      <c r="BH12" s="32">
        <f>(48*F19)</f>
        <v>1248</v>
      </c>
      <c r="BI12" s="32">
        <f t="shared" si="54"/>
        <v>1248</v>
      </c>
      <c r="BJ12" s="32">
        <f t="shared" ca="1" si="55"/>
        <v>1435.12</v>
      </c>
      <c r="BK12" s="32">
        <f t="shared" ca="1" si="56"/>
        <v>-10.8925608</v>
      </c>
      <c r="BL12" s="32">
        <f t="shared" si="37"/>
        <v>260.26</v>
      </c>
      <c r="BM12" s="32">
        <f t="shared" ca="1" si="57"/>
        <v>1174.8599999999999</v>
      </c>
      <c r="BN12" s="32">
        <f t="shared" ca="1" si="58"/>
        <v>-164.4804</v>
      </c>
      <c r="BO12" s="32">
        <f t="shared" ca="1" si="59"/>
        <v>-11.7486</v>
      </c>
      <c r="BP12" s="32">
        <f>(0)</f>
        <v>0</v>
      </c>
      <c r="BQ12" s="32">
        <f t="shared" ca="1" si="60"/>
        <v>1258.8910000000001</v>
      </c>
      <c r="BR12" s="32">
        <f>(0)</f>
        <v>0</v>
      </c>
      <c r="BS12" s="34">
        <v>0</v>
      </c>
      <c r="BT12" s="32">
        <f t="shared" si="38"/>
        <v>0</v>
      </c>
      <c r="BU12" s="32">
        <f t="shared" si="61"/>
        <v>0</v>
      </c>
      <c r="BV12" s="32">
        <f>(0)</f>
        <v>0</v>
      </c>
      <c r="BW12" s="32">
        <f>(0)</f>
        <v>0</v>
      </c>
      <c r="BX12" s="32">
        <f>(0)</f>
        <v>0</v>
      </c>
      <c r="BY12" s="34">
        <v>0</v>
      </c>
      <c r="BZ12" s="32">
        <f t="shared" si="39"/>
        <v>0</v>
      </c>
      <c r="CA12" s="32">
        <f t="shared" si="40"/>
        <v>0</v>
      </c>
      <c r="CB12" s="34">
        <v>30</v>
      </c>
      <c r="CC12" s="32">
        <f t="shared" si="41"/>
        <v>1045.5478923564535</v>
      </c>
      <c r="CD12" s="32">
        <f t="shared" si="62"/>
        <v>880.78</v>
      </c>
      <c r="CF12" s="33">
        <f t="shared" si="42"/>
        <v>0</v>
      </c>
      <c r="CG12" s="33">
        <f t="shared" si="43"/>
        <v>0</v>
      </c>
      <c r="CI12" s="33">
        <f t="shared" si="44"/>
        <v>0</v>
      </c>
      <c r="CJ12" s="33">
        <f t="shared" si="63"/>
        <v>0</v>
      </c>
      <c r="CK12" s="45" t="s">
        <v>0</v>
      </c>
      <c r="CL12" s="45" t="s">
        <v>0</v>
      </c>
      <c r="CM12" s="31">
        <v>10</v>
      </c>
      <c r="CN12" s="36">
        <v>5</v>
      </c>
      <c r="CO12" s="37">
        <v>0.12</v>
      </c>
      <c r="CP12" s="54"/>
    </row>
    <row r="13" spans="1:94" ht="39.950000000000003" customHeight="1" x14ac:dyDescent="0.25">
      <c r="A13" s="58"/>
      <c r="B13" s="59"/>
      <c r="C13" s="56"/>
      <c r="D13" s="56"/>
      <c r="E13" s="60"/>
      <c r="F13" s="56"/>
      <c r="G13" s="56"/>
      <c r="H13" s="56"/>
      <c r="I13" s="56"/>
      <c r="J13" s="56"/>
      <c r="K13" s="56"/>
      <c r="L13" s="56"/>
      <c r="M13" s="56"/>
      <c r="N13" s="56"/>
      <c r="O13" s="73"/>
      <c r="P13" s="18" t="s">
        <v>31</v>
      </c>
      <c r="Q13" s="19">
        <f t="shared" ca="1" si="64"/>
        <v>717.88092179914338</v>
      </c>
      <c r="R13" s="20">
        <f ca="1">COUNTIF(S1,"Ocak")*(BZ15)*-1
+COUNTIF(S1,"Şubat")*(BZ16)*-1
+COUNTIF(S1,"Mart")*(BZ17)*-1
+COUNTIF(S1,"Nisan")*(BZ18)*-1
+COUNTIF(S1,"Mayıs")*(BZ19)*-1
+COUNTIF(S1,"Haziran")*(AO5)*-1
+COUNTIF(S1,"Temmuz")*(AO6)*-1
+COUNTIF(S1,"Ağustos")*(AO7)*-1
+COUNTIF(S1,"Eylül")*(AO8)*-1
+COUNTIF(S1,"Ekim")*(BY20)*-1
+COUNTIF(S1,"Kasım")*(BY21)*-1
+COUNTIF(S1,"Aralık")*(BY22)*-1
+COUNTIF(S1,"Yıllık Toplam")*(BY23)*-1
+COUNTIF(S1,"Yıllık Ortalama")*(BY24)*-1</f>
        <v>717.88092179914338</v>
      </c>
      <c r="S13" s="69"/>
      <c r="T13" s="70"/>
      <c r="U13" s="27" t="s">
        <v>39</v>
      </c>
      <c r="V13" s="26" t="s">
        <v>78</v>
      </c>
      <c r="W13" s="71"/>
      <c r="X13" s="72"/>
      <c r="Y13" s="62"/>
      <c r="Z13" s="61"/>
      <c r="AA13" s="28" t="s">
        <v>88</v>
      </c>
      <c r="AB13" s="32">
        <v>175.54</v>
      </c>
      <c r="AC13" s="32">
        <v>183.35</v>
      </c>
      <c r="AD13" s="44">
        <f>(AD12)</f>
        <v>250</v>
      </c>
      <c r="AE13" s="31" t="s">
        <v>0</v>
      </c>
      <c r="AF13" s="32">
        <f>($AD$16*$AD$13)</f>
        <v>58.861249999999998</v>
      </c>
      <c r="AG13" s="32">
        <f>($AE$16*$AD$13)</f>
        <v>83.400750000000002</v>
      </c>
      <c r="AH13" s="42">
        <f t="shared" si="68"/>
        <v>44682</v>
      </c>
      <c r="AI13" s="42">
        <f t="shared" si="46"/>
        <v>44712</v>
      </c>
      <c r="AJ13" s="43">
        <f t="shared" si="65"/>
        <v>31</v>
      </c>
      <c r="AK13" s="43">
        <f t="shared" si="66"/>
        <v>26</v>
      </c>
      <c r="AL13" s="43">
        <f t="shared" si="67"/>
        <v>5</v>
      </c>
      <c r="AM13" s="38" t="s">
        <v>0</v>
      </c>
      <c r="AN13" s="40">
        <f t="shared" si="47"/>
        <v>172.04211725881697</v>
      </c>
      <c r="AO13" s="40">
        <f t="shared" si="48"/>
        <v>144.93</v>
      </c>
      <c r="AP13" s="40">
        <f t="shared" si="49"/>
        <v>172.04211725881697</v>
      </c>
      <c r="AQ13" s="40">
        <f t="shared" si="50"/>
        <v>144.93</v>
      </c>
      <c r="AR13" s="40">
        <f t="shared" si="51"/>
        <v>172.04211725881697</v>
      </c>
      <c r="AS13" s="40">
        <f t="shared" si="52"/>
        <v>144.93</v>
      </c>
      <c r="AT13" s="38" t="s">
        <v>0</v>
      </c>
      <c r="AU13" s="39">
        <f t="shared" si="26"/>
        <v>5161.2635177645097</v>
      </c>
      <c r="AV13" s="32">
        <f t="shared" si="27"/>
        <v>4347.9000000000005</v>
      </c>
      <c r="AW13" s="33">
        <f t="shared" si="28"/>
        <v>0</v>
      </c>
      <c r="AX13" s="32">
        <f t="shared" si="29"/>
        <v>0</v>
      </c>
      <c r="AY13" s="32">
        <f t="shared" si="30"/>
        <v>0</v>
      </c>
      <c r="AZ13" s="33">
        <f t="shared" si="31"/>
        <v>0</v>
      </c>
      <c r="BA13" s="32">
        <f t="shared" si="32"/>
        <v>3326.8644424923732</v>
      </c>
      <c r="BB13" s="32">
        <f t="shared" si="33"/>
        <v>2802.5838750000003</v>
      </c>
      <c r="BC13" s="33">
        <f t="shared" si="34"/>
        <v>0</v>
      </c>
      <c r="BD13" s="32">
        <f t="shared" si="35"/>
        <v>0</v>
      </c>
      <c r="BE13" s="32">
        <f t="shared" si="36"/>
        <v>0</v>
      </c>
      <c r="BG13" s="32">
        <f t="shared" ca="1" si="53"/>
        <v>1435.1215607999998</v>
      </c>
      <c r="BH13" s="32">
        <f>(48*F20)</f>
        <v>1248</v>
      </c>
      <c r="BI13" s="32">
        <f t="shared" si="54"/>
        <v>1248</v>
      </c>
      <c r="BJ13" s="32">
        <f t="shared" ca="1" si="55"/>
        <v>1435.12</v>
      </c>
      <c r="BK13" s="32">
        <f t="shared" ca="1" si="56"/>
        <v>-10.8925608</v>
      </c>
      <c r="BL13" s="32">
        <f t="shared" si="37"/>
        <v>260.26</v>
      </c>
      <c r="BM13" s="32">
        <f t="shared" ca="1" si="57"/>
        <v>1174.8599999999999</v>
      </c>
      <c r="BN13" s="32">
        <f t="shared" ca="1" si="58"/>
        <v>-164.4804</v>
      </c>
      <c r="BO13" s="32">
        <f t="shared" ca="1" si="59"/>
        <v>-11.7486</v>
      </c>
      <c r="BP13" s="32">
        <f>(0)</f>
        <v>0</v>
      </c>
      <c r="BQ13" s="32">
        <f t="shared" ca="1" si="60"/>
        <v>1258.8910000000001</v>
      </c>
      <c r="BR13" s="32">
        <f>(0)</f>
        <v>0</v>
      </c>
      <c r="BS13" s="34">
        <v>0</v>
      </c>
      <c r="BT13" s="32">
        <f t="shared" si="38"/>
        <v>0</v>
      </c>
      <c r="BU13" s="32">
        <f t="shared" si="61"/>
        <v>0</v>
      </c>
      <c r="BV13" s="32">
        <f>(0)</f>
        <v>0</v>
      </c>
      <c r="BW13" s="32">
        <f>(0)</f>
        <v>0</v>
      </c>
      <c r="BX13" s="32">
        <f>(0)</f>
        <v>0</v>
      </c>
      <c r="BY13" s="34">
        <v>30</v>
      </c>
      <c r="BZ13" s="32">
        <f t="shared" si="39"/>
        <v>5161.2635177645097</v>
      </c>
      <c r="CA13" s="32">
        <f t="shared" si="40"/>
        <v>4347.9000000000005</v>
      </c>
      <c r="CB13" s="34">
        <v>30</v>
      </c>
      <c r="CC13" s="32">
        <f t="shared" si="41"/>
        <v>1045.5478923564535</v>
      </c>
      <c r="CD13" s="32">
        <f t="shared" si="62"/>
        <v>880.78</v>
      </c>
      <c r="CF13" s="33">
        <f t="shared" si="42"/>
        <v>0</v>
      </c>
      <c r="CG13" s="33">
        <f t="shared" si="43"/>
        <v>0</v>
      </c>
      <c r="CI13" s="33">
        <f t="shared" si="44"/>
        <v>0</v>
      </c>
      <c r="CJ13" s="33">
        <f t="shared" si="63"/>
        <v>0</v>
      </c>
      <c r="CK13" s="45" t="s">
        <v>0</v>
      </c>
      <c r="CL13" s="45" t="s">
        <v>0</v>
      </c>
      <c r="CM13" s="31">
        <v>11</v>
      </c>
      <c r="CN13" s="36">
        <v>5.5</v>
      </c>
      <c r="CO13" s="37">
        <v>0.13</v>
      </c>
      <c r="CP13" s="54"/>
    </row>
    <row r="14" spans="1:94" ht="39.950000000000003" customHeight="1" x14ac:dyDescent="0.25">
      <c r="A14" s="58"/>
      <c r="B14" s="59"/>
      <c r="C14" s="56"/>
      <c r="D14" s="56"/>
      <c r="E14" s="60"/>
      <c r="F14" s="56"/>
      <c r="G14" s="56"/>
      <c r="H14" s="56"/>
      <c r="I14" s="56"/>
      <c r="J14" s="56"/>
      <c r="K14" s="56"/>
      <c r="L14" s="56"/>
      <c r="M14" s="56"/>
      <c r="N14" s="56"/>
      <c r="O14" s="73"/>
      <c r="P14" s="18" t="s">
        <v>4</v>
      </c>
      <c r="Q14" s="19">
        <f t="shared" ca="1" si="64"/>
        <v>22377.09552962847</v>
      </c>
      <c r="R14" s="20">
        <f ca="1">COUNTIF(S1,"Ocak")*(BK25)*-1
+COUNTIF(S1,"Şubat")*(BK26)*-1
+COUNTIF(S1,"Mart")*(BK27)*-1
+COUNTIF(S1,"Nisan")*(BK28)*-1
+COUNTIF(S1,"Mayıs")*(BK29)*-1
+COUNTIF(S1,"Haziran")*(AS5)*-1
+COUNTIF(S1,"Temmuz")*(AS6)*-1
+COUNTIF(S1,"Ağustos")*(AS7)*-1
+COUNTIF(S1,"Eylül")*(AS8)*-1
+COUNTIF(S1,"Ekim")*(BK34)*-1
+COUNTIF(S1,"Kasım")*(BK35)*-1
+COUNTIF(S1,"Aralık")*(BK36)*-1
+COUNTIF(S1,"Yıllık Toplam")*(BK37)*-1
+COUNTIF(S1,"Yıllık Ortalama")*(BK38)*-1</f>
        <v>22377.09552962847</v>
      </c>
      <c r="S14" s="69"/>
      <c r="T14" s="70"/>
      <c r="U14" s="24" t="s">
        <v>45</v>
      </c>
      <c r="V14" s="25" t="s">
        <v>79</v>
      </c>
      <c r="W14" s="71"/>
      <c r="X14" s="72"/>
      <c r="Y14" s="62"/>
      <c r="Z14" s="61"/>
      <c r="AA14" s="28" t="s">
        <v>89</v>
      </c>
      <c r="AB14" s="32">
        <v>174.86</v>
      </c>
      <c r="AC14" s="32">
        <v>183.35</v>
      </c>
      <c r="AD14" s="46">
        <f>(1.5)</f>
        <v>1.5</v>
      </c>
      <c r="AE14" s="31" t="s">
        <v>0</v>
      </c>
      <c r="AF14" s="32">
        <f>($AF$12*$AD$14)</f>
        <v>176.58375000000001</v>
      </c>
      <c r="AG14" s="32">
        <f>($AG$12*$AD$14)</f>
        <v>250.20224999999999</v>
      </c>
      <c r="AH14" s="42">
        <f t="shared" si="68"/>
        <v>44713</v>
      </c>
      <c r="AI14" s="42">
        <f t="shared" si="46"/>
        <v>44742</v>
      </c>
      <c r="AJ14" s="43">
        <f t="shared" si="65"/>
        <v>30</v>
      </c>
      <c r="AK14" s="43">
        <f t="shared" si="66"/>
        <v>26</v>
      </c>
      <c r="AL14" s="43">
        <f t="shared" si="67"/>
        <v>4</v>
      </c>
      <c r="AM14" s="38" t="s">
        <v>0</v>
      </c>
      <c r="AN14" s="40">
        <f t="shared" si="47"/>
        <v>172.04211725881697</v>
      </c>
      <c r="AO14" s="40">
        <f t="shared" si="48"/>
        <v>144.93</v>
      </c>
      <c r="AP14" s="40">
        <f t="shared" si="49"/>
        <v>172.04211725881697</v>
      </c>
      <c r="AQ14" s="40">
        <f t="shared" si="50"/>
        <v>144.93</v>
      </c>
      <c r="AR14" s="40">
        <f t="shared" si="51"/>
        <v>172.04211725881697</v>
      </c>
      <c r="AS14" s="40">
        <f t="shared" si="52"/>
        <v>144.93</v>
      </c>
      <c r="AT14" s="38" t="s">
        <v>0</v>
      </c>
      <c r="AU14" s="39">
        <f t="shared" si="26"/>
        <v>6747.130257238161</v>
      </c>
      <c r="AV14" s="32">
        <f t="shared" si="27"/>
        <v>5683.8499999999995</v>
      </c>
      <c r="AW14" s="33">
        <f t="shared" si="28"/>
        <v>0</v>
      </c>
      <c r="AX14" s="32">
        <f t="shared" si="29"/>
        <v>0</v>
      </c>
      <c r="AY14" s="32">
        <f t="shared" si="30"/>
        <v>0</v>
      </c>
      <c r="AZ14" s="33">
        <f t="shared" si="31"/>
        <v>0</v>
      </c>
      <c r="BA14" s="32">
        <f t="shared" si="32"/>
        <v>3466.0661079521842</v>
      </c>
      <c r="BB14" s="32">
        <f t="shared" si="33"/>
        <v>2919.8487499999997</v>
      </c>
      <c r="BC14" s="33">
        <f t="shared" si="34"/>
        <v>0</v>
      </c>
      <c r="BD14" s="32">
        <f t="shared" si="35"/>
        <v>0</v>
      </c>
      <c r="BE14" s="32">
        <f t="shared" si="36"/>
        <v>0</v>
      </c>
      <c r="BG14" s="32">
        <f ca="1">(BI14+BK14*-1+BN14*-1+BO14*-1+BR14*-1)</f>
        <v>1421.5576404000001</v>
      </c>
      <c r="BH14" s="32">
        <f>(48*F21)</f>
        <v>1248</v>
      </c>
      <c r="BI14" s="32">
        <f>(BH14)</f>
        <v>1248</v>
      </c>
      <c r="BJ14" s="32">
        <f ca="1">ROUND((BI14+BK14*-1+BN14*-1+BO14*-1+BR14*-1),2)</f>
        <v>1421.56</v>
      </c>
      <c r="BK14" s="32">
        <f ca="1">(BJ14*0.00759*-1)</f>
        <v>-10.7896404</v>
      </c>
      <c r="BL14" s="32">
        <f>($AG$9*F21)</f>
        <v>336.44</v>
      </c>
      <c r="BM14" s="32">
        <f ca="1">(BJ14-BL14)</f>
        <v>1085.1199999999999</v>
      </c>
      <c r="BN14" s="32">
        <f ca="1">(BM14*0.14*-1)</f>
        <v>-151.91679999999999</v>
      </c>
      <c r="BO14" s="32">
        <f ca="1">(BM14*0.01*-1)</f>
        <v>-10.851199999999999</v>
      </c>
      <c r="BP14" s="32">
        <f>(0)</f>
        <v>0</v>
      </c>
      <c r="BQ14" s="32">
        <f ca="1">(BJ14+BN14+BO14-BP14)</f>
        <v>1258.7919999999999</v>
      </c>
      <c r="BR14" s="32">
        <f>(0)</f>
        <v>0</v>
      </c>
      <c r="BS14" s="34">
        <v>0</v>
      </c>
      <c r="BT14" s="32">
        <f t="shared" si="38"/>
        <v>0</v>
      </c>
      <c r="BU14" s="32">
        <f t="shared" si="61"/>
        <v>0</v>
      </c>
      <c r="BV14" s="32">
        <f>(0)</f>
        <v>0</v>
      </c>
      <c r="BW14" s="32">
        <f>(0)</f>
        <v>0</v>
      </c>
      <c r="BX14" s="32">
        <f>(0)</f>
        <v>0</v>
      </c>
      <c r="BY14" s="34">
        <v>0</v>
      </c>
      <c r="BZ14" s="32">
        <f t="shared" si="39"/>
        <v>0</v>
      </c>
      <c r="CA14" s="32">
        <f t="shared" si="40"/>
        <v>0</v>
      </c>
      <c r="CB14" s="34">
        <v>30</v>
      </c>
      <c r="CC14" s="32">
        <f t="shared" si="41"/>
        <v>1045.5478923564535</v>
      </c>
      <c r="CD14" s="32">
        <f t="shared" si="62"/>
        <v>880.78</v>
      </c>
      <c r="CF14" s="33">
        <f t="shared" si="42"/>
        <v>0</v>
      </c>
      <c r="CG14" s="33">
        <f t="shared" si="43"/>
        <v>0</v>
      </c>
      <c r="CI14" s="33">
        <f t="shared" si="44"/>
        <v>0</v>
      </c>
      <c r="CJ14" s="33">
        <f t="shared" si="63"/>
        <v>0</v>
      </c>
      <c r="CK14" s="45" t="s">
        <v>0</v>
      </c>
      <c r="CL14" s="45" t="s">
        <v>0</v>
      </c>
      <c r="CM14" s="31">
        <v>12</v>
      </c>
      <c r="CN14" s="36">
        <v>6</v>
      </c>
      <c r="CO14" s="37">
        <v>0.14000000000000001</v>
      </c>
      <c r="CP14" s="54"/>
    </row>
    <row r="15" spans="1:94" ht="39.950000000000003" customHeight="1" x14ac:dyDescent="0.25">
      <c r="A15" s="4">
        <f t="shared" ref="A15:A26" si="69">(BR25)</f>
        <v>0</v>
      </c>
      <c r="B15" s="5" t="s">
        <v>10</v>
      </c>
      <c r="C15" s="15">
        <v>0</v>
      </c>
      <c r="D15" s="16">
        <v>91</v>
      </c>
      <c r="E15" s="16">
        <v>0</v>
      </c>
      <c r="F15" s="15">
        <v>26</v>
      </c>
      <c r="G15" s="15">
        <v>0</v>
      </c>
      <c r="H15" s="15">
        <v>0</v>
      </c>
      <c r="I15" s="13" t="s">
        <v>1</v>
      </c>
      <c r="J15" s="13" t="s">
        <v>1</v>
      </c>
      <c r="K15" s="13" t="s">
        <v>1</v>
      </c>
      <c r="L15" s="14">
        <v>0</v>
      </c>
      <c r="M15" s="6">
        <f ca="1">(BT15+AD23+AG23+BZ15+BK25+BL25+CF15-N15)</f>
        <v>5256.7521826085576</v>
      </c>
      <c r="N15" s="6">
        <f t="shared" ref="N15:N21" ca="1" si="70">(BB8+BE8+BH8+AH23)</f>
        <v>3053.1523750000001</v>
      </c>
      <c r="O15" s="7">
        <f ca="1">(M15+N15)</f>
        <v>8309.9045576085573</v>
      </c>
      <c r="P15" s="18" t="s">
        <v>5</v>
      </c>
      <c r="Q15" s="19">
        <f t="shared" ca="1" si="64"/>
        <v>1598.3639664020334</v>
      </c>
      <c r="R15" s="20">
        <f ca="1">COUNTIF(S1,"Ocak")*(BL25)*-1
+COUNTIF(S1,"Şubat")*(BL26)*-1
+COUNTIF(S1,"Mart")*(BL27)*-1
+COUNTIF(S1,"Nisan")*(BL28)*-1
+COUNTIF(S1,"Mayıs")*(BL29)*-1
+COUNTIF(S1,"Haziran")*(BL30)*-1
+COUNTIF(S1,"Temmuz")*(BL31)*-1
+COUNTIF(S1,"Ağustos")*(BL32)*-1
+COUNTIF(S1,"Eylül")*(BL33)*-1
+COUNTIF(S1,"Ekim")*(BL34)*-1
+COUNTIF(S1,"Kasım")*(BL35)*-1
+COUNTIF(S1,"Aralık")*(BL36)*-1
+COUNTIF(S1,"Yıllık Toplam")*(BL37)*-1
+COUNTIF(S1,"Yıllık Ortalama")*(BL38)*-1</f>
        <v>1598.3639664020334</v>
      </c>
      <c r="S15" s="69"/>
      <c r="T15" s="70"/>
      <c r="U15" s="21" t="s">
        <v>0</v>
      </c>
      <c r="V15" s="26" t="s">
        <v>0</v>
      </c>
      <c r="W15" s="71"/>
      <c r="X15" s="72"/>
      <c r="Y15" s="62"/>
      <c r="Z15" s="61"/>
      <c r="AA15" s="28" t="s">
        <v>90</v>
      </c>
      <c r="AB15" s="32">
        <v>174.18</v>
      </c>
      <c r="AC15" s="32">
        <v>183.35</v>
      </c>
      <c r="AD15" s="31" t="s">
        <v>0</v>
      </c>
      <c r="AE15" s="31" t="s">
        <v>0</v>
      </c>
      <c r="AF15" s="32">
        <f>($AF$14/2)</f>
        <v>88.291875000000005</v>
      </c>
      <c r="AG15" s="32">
        <f>($AG$14/2)</f>
        <v>125.101125</v>
      </c>
      <c r="AH15" s="42">
        <f t="shared" si="68"/>
        <v>44743</v>
      </c>
      <c r="AI15" s="42">
        <f t="shared" si="46"/>
        <v>44773</v>
      </c>
      <c r="AJ15" s="43">
        <f t="shared" si="65"/>
        <v>31</v>
      </c>
      <c r="AK15" s="43">
        <f t="shared" si="66"/>
        <v>26</v>
      </c>
      <c r="AL15" s="43">
        <f t="shared" si="67"/>
        <v>5</v>
      </c>
      <c r="AM15" s="38" t="s">
        <v>0</v>
      </c>
      <c r="AN15" s="40">
        <f t="shared" si="47"/>
        <v>217.6493631367149</v>
      </c>
      <c r="AO15" s="40">
        <f t="shared" ref="AO15:AO20" si="71">COUNTIF($A$1,"1S-Kaptan-Üniversite")*($AC$1)
+COUNTIF($A$1,"1S-Kaptan-MYO")*($AC$2)
+COUNTIF($A$1,"1S-Kaptan-Lise")*($AC$3)
+COUNTIF($A$1,"1S-Baş Makinist-Üniversite")*($AC$4)
+COUNTIF($A$1,"1S-Baş Makinist-MYO")*($AC$5)
+COUNTIF($A$1,"1S-Baş Makinist-Lise")*($AC$6)
+COUNTIF($A$1,"2S-Kaptan-Üniversite")*($AC$7)
+COUNTIF($A$1,"2S-Kaptan-MYO")*($AC$8)
+COUNTIF($A$1,"2S-Kaptan-Lise")*($AC$9)
+COUNTIF($A$1,"2S-Baş Makinist-Üniversite")*($AC$10)
+COUNTIF($A$1,"2S-Baş Makinist-MYO")*($AC$11)
+COUNTIF($A$1,"2S-Baş Makinist-Lise")*($AC$12)
+COUNTIF($A$1,"2S-İkinci Kaptan-Üniversite")*($AC$13)
+COUNTIF($A$1,"2S-İkinci Kaptan-MYO")*($AC$14)
+COUNTIF($A$1,"2S-İkinci Kaptan-Lise")*($AC$15)
+COUNTIF($A$1,"2S-Usta Gemici-Üniversite")*($AC$16)
+COUNTIF($A$1,"2S-Usta Gemici-MYO")*($AC$17)
+COUNTIF($A$1,"2S-Usta Gemici-Lise")*($AC$18)
+COUNTIF($A$1,"2S-Yağcı-Üniversite")*($AC$19)
+COUNTIF($A$1,"2S-Yağcı-MYO")*($AC$20)
+COUNTIF($A$1,"2S-Yağcı-Lise")*($AC$21)</f>
        <v>183.35</v>
      </c>
      <c r="AP15" s="40">
        <f t="shared" si="49"/>
        <v>217.6493631367149</v>
      </c>
      <c r="AQ15" s="40">
        <f t="shared" ref="AQ15:AQ20" si="72">COUNTIF($A$1,"1S-Kaptan-Üniversite")*($AC$1)
+COUNTIF($A$1,"1S-Kaptan-MYO")*($AC$2)
+COUNTIF($A$1,"1S-Kaptan-Lise")*($AC$3)
+COUNTIF($A$1,"1S-Baş Makinist-Üniversite")*($AC$4)
+COUNTIF($A$1,"1S-Baş Makinist-MYO")*($AC$5)
+COUNTIF($A$1,"1S-Baş Makinist-Lise")*($AC$6)
+COUNTIF($A$1,"2S-Kaptan-Üniversite")*($AC$7)
+COUNTIF($A$1,"2S-Kaptan-MYO")*($AC$8)
+COUNTIF($A$1,"2S-Kaptan-Lise")*($AC$9)
+COUNTIF($A$1,"2S-Baş Makinist-Üniversite")*($AC$10)
+COUNTIF($A$1,"2S-Baş Makinist-MYO")*($AC$11)
+COUNTIF($A$1,"2S-Baş Makinist-Lise")*($AC$12)
+COUNTIF($A$1,"2S-İkinci Kaptan-Üniversite")*($AC$13)
+COUNTIF($A$1,"2S-İkinci Kaptan-MYO")*($AC$14)
+COUNTIF($A$1,"2S-İkinci Kaptan-Lise")*($AC$15)
+COUNTIF($A$1,"2S-Usta Gemici-Üniversite")*($AC$16)
+COUNTIF($A$1,"2S-Usta Gemici-MYO")*($AC$17)
+COUNTIF($A$1,"2S-Usta Gemici-Lise")*($AC$18)
+COUNTIF($A$1,"2S-Yağcı-Üniversite")*($AC$19)
+COUNTIF($A$1,"2S-Yağcı-MYO")*($AC$20)
+COUNTIF($A$1,"2S-Yağcı-Lise")*($AC$21)</f>
        <v>183.35</v>
      </c>
      <c r="AR15" s="40">
        <f t="shared" si="51"/>
        <v>217.6493631367149</v>
      </c>
      <c r="AS15" s="40">
        <f t="shared" ref="AS15:AS20" si="73">COUNTIF($A$1,"1S-Kaptan-Üniversite")*($AC$1)
+COUNTIF($A$1,"1S-Kaptan-MYO")*($AC$2)
+COUNTIF($A$1,"1S-Kaptan-Lise")*($AC$3)
+COUNTIF($A$1,"1S-Baş Makinist-Üniversite")*($AC$4)
+COUNTIF($A$1,"1S-Baş Makinist-MYO")*($AC$5)
+COUNTIF($A$1,"1S-Baş Makinist-Lise")*($AC$6)
+COUNTIF($A$1,"2S-Kaptan-Üniversite")*($AC$7)
+COUNTIF($A$1,"2S-Kaptan-MYO")*($AC$8)
+COUNTIF($A$1,"2S-Kaptan-Lise")*($AC$9)
+COUNTIF($A$1,"2S-Baş Makinist-Üniversite")*($AC$10)
+COUNTIF($A$1,"2S-Baş Makinist-MYO")*($AC$11)
+COUNTIF($A$1,"2S-Baş Makinist-Lise")*($AC$12)
+COUNTIF($A$1,"2S-İkinci Kaptan-Üniversite")*($AC$13)
+COUNTIF($A$1,"2S-İkinci Kaptan-MYO")*($AC$14)
+COUNTIF($A$1,"2S-İkinci Kaptan-Lise")*($AC$15)
+COUNTIF($A$1,"2S-Usta Gemici-Üniversite")*($AC$16)
+COUNTIF($A$1,"2S-Usta Gemici-MYO")*($AC$17)
+COUNTIF($A$1,"2S-Usta Gemici-Lise")*($AC$18)
+COUNTIF($A$1,"2S-Yağcı-Üniversite")*($AC$19)
+COUNTIF($A$1,"2S-Yağcı-MYO")*($AC$20)
+COUNTIF($A$1,"2S-Yağcı-Lise")*($AC$21)</f>
        <v>183.35</v>
      </c>
      <c r="AT15" s="38" t="s">
        <v>0</v>
      </c>
      <c r="AU15" s="39">
        <f t="shared" si="26"/>
        <v>6747.130257238161</v>
      </c>
      <c r="AV15" s="32">
        <f t="shared" si="27"/>
        <v>5683.8499999999995</v>
      </c>
      <c r="AW15" s="33">
        <f t="shared" si="28"/>
        <v>0</v>
      </c>
      <c r="AX15" s="32">
        <f t="shared" si="29"/>
        <v>0</v>
      </c>
      <c r="AY15" s="32">
        <f t="shared" si="30"/>
        <v>0</v>
      </c>
      <c r="AZ15" s="33">
        <f t="shared" si="31"/>
        <v>0</v>
      </c>
      <c r="BA15" s="32">
        <f t="shared" si="32"/>
        <v>3961.218409088211</v>
      </c>
      <c r="BB15" s="32">
        <f t="shared" si="33"/>
        <v>3336.97</v>
      </c>
      <c r="BC15" s="33">
        <f t="shared" si="34"/>
        <v>0</v>
      </c>
      <c r="BD15" s="32">
        <f t="shared" si="35"/>
        <v>0</v>
      </c>
      <c r="BE15" s="32">
        <f t="shared" si="36"/>
        <v>0</v>
      </c>
      <c r="BF15" s="31">
        <f>(1500)</f>
        <v>1500</v>
      </c>
      <c r="BG15" s="31" t="s">
        <v>0</v>
      </c>
      <c r="BH15" s="32">
        <f>($AD$16*$BF$15)</f>
        <v>353.16749999999996</v>
      </c>
      <c r="BI15" s="32">
        <f>($AE$16*$BF$15)</f>
        <v>500.40449999999998</v>
      </c>
      <c r="BJ15" s="46" t="s">
        <v>9</v>
      </c>
      <c r="BK15" s="32">
        <f>(5004)</f>
        <v>5004</v>
      </c>
      <c r="BL15" s="32">
        <f>(5004)</f>
        <v>5004</v>
      </c>
      <c r="BM15" s="32">
        <f t="shared" ref="BM15:BM22" si="74">(BK15-BL15)</f>
        <v>0</v>
      </c>
      <c r="BN15" s="32">
        <f t="shared" ref="BN15:BN22" si="75">(BM15*0.00759*-1)</f>
        <v>0</v>
      </c>
      <c r="BO15" s="32">
        <f>(0)</f>
        <v>0</v>
      </c>
      <c r="BP15" s="32">
        <f t="shared" ref="BP15:BP22" si="76">(BK15-BO15)</f>
        <v>5004</v>
      </c>
      <c r="BQ15" s="32">
        <f t="shared" ref="BQ15:BQ22" si="77">(BP15*0.14*-1)</f>
        <v>-700.56000000000006</v>
      </c>
      <c r="BR15" s="32">
        <f t="shared" ref="BR15:BR22" si="78">(BP15*0.01*-1)</f>
        <v>-50.04</v>
      </c>
      <c r="BS15" s="32">
        <f ca="1">(AU8+AX8+BA8+BD8+BG8+BT8+BZ8+CC8+CF8+CI8+AW8)</f>
        <v>9956.8180614445355</v>
      </c>
      <c r="BT15" s="32">
        <f ca="1">(AU8+AX8+BA8+BD8+BG8+BT8+BZ8+CC8+CF8+CI8+AW8)</f>
        <v>9956.8180614445355</v>
      </c>
      <c r="BU15" s="32">
        <f ca="1">(BT15*0.00759*-1)</f>
        <v>-75.572249086364025</v>
      </c>
      <c r="BV15" s="32">
        <f>(BL15)</f>
        <v>5004</v>
      </c>
      <c r="BW15" s="32">
        <f>(BV15*0.00759*-1)</f>
        <v>-37.980360000000005</v>
      </c>
      <c r="BX15" s="32">
        <f ca="1">(BT15-BV15)</f>
        <v>4952.8180614445355</v>
      </c>
      <c r="BY15" s="32">
        <f ca="1">(BX15*0.00759*-1)</f>
        <v>-37.591889086364027</v>
      </c>
      <c r="BZ15" s="32">
        <f ca="1">(BY15)</f>
        <v>-37.591889086364027</v>
      </c>
      <c r="CA15" s="32">
        <f>(BL8+BW8+AZ8)</f>
        <v>260.26</v>
      </c>
      <c r="CB15" s="32">
        <f ca="1">(BT15-CA15)</f>
        <v>9696.5580614445353</v>
      </c>
      <c r="CC15" s="32">
        <f ca="1">IF(CB15&gt;=BK15*7.5,BK15*7.5,CB15)</f>
        <v>9696.5580614445353</v>
      </c>
      <c r="CD15" s="32">
        <f>(0)</f>
        <v>0</v>
      </c>
      <c r="CE15" s="32">
        <f>(0)</f>
        <v>0</v>
      </c>
      <c r="CF15" s="32">
        <f>(CD15+CE15)</f>
        <v>0</v>
      </c>
      <c r="CG15" s="47">
        <f>(100+(100*0.00759*-1)+(100*0.14*-1)+(100*0.01*-1))/100</f>
        <v>0.84240999999999999</v>
      </c>
      <c r="CH15" s="47">
        <f t="shared" ref="CH15:CH26" si="79">(100+(100*0.00759*-1)+(100*0.14*-1)+(100*0.01*-1)+(100+100*0.14*-1+100*0.01*-1)*BR25*-1)/100</f>
        <v>0.84240999999999999</v>
      </c>
      <c r="CI15" s="47">
        <f t="shared" ref="CI15:CI26" si="80">(100+(100*0.00759*-1)+(100)*BR25*-1)/100</f>
        <v>0.99241000000000001</v>
      </c>
      <c r="CJ15" s="33">
        <f t="shared" si="63"/>
        <v>0</v>
      </c>
      <c r="CK15" s="45" t="s">
        <v>0</v>
      </c>
      <c r="CL15" s="45" t="s">
        <v>0</v>
      </c>
      <c r="CM15" s="31">
        <v>13</v>
      </c>
      <c r="CN15" s="36">
        <v>6.5</v>
      </c>
      <c r="CO15" s="37">
        <v>0.15</v>
      </c>
      <c r="CP15" s="54"/>
    </row>
    <row r="16" spans="1:94" ht="39.950000000000003" customHeight="1" x14ac:dyDescent="0.25">
      <c r="A16" s="4">
        <f t="shared" si="69"/>
        <v>0</v>
      </c>
      <c r="B16" s="5" t="s">
        <v>11</v>
      </c>
      <c r="C16" s="15">
        <v>0</v>
      </c>
      <c r="D16" s="16">
        <v>112</v>
      </c>
      <c r="E16" s="16">
        <v>0</v>
      </c>
      <c r="F16" s="15">
        <v>24</v>
      </c>
      <c r="G16" s="15">
        <v>0</v>
      </c>
      <c r="H16" s="15">
        <v>0</v>
      </c>
      <c r="I16" s="13" t="s">
        <v>1</v>
      </c>
      <c r="J16" s="13" t="s">
        <v>1</v>
      </c>
      <c r="K16" s="13" t="s">
        <v>1</v>
      </c>
      <c r="L16" s="14">
        <v>0</v>
      </c>
      <c r="M16" s="6">
        <f ca="1">(BT16+AD24+AG24+BZ16+BK26+BL26+CF16-N16)</f>
        <v>4821.9622035207485</v>
      </c>
      <c r="N16" s="6">
        <f t="shared" ca="1" si="70"/>
        <v>3477.7260000000001</v>
      </c>
      <c r="O16" s="7">
        <f t="shared" ref="O16:O26" ca="1" si="81">(M16+N16)</f>
        <v>8299.6882035207491</v>
      </c>
      <c r="P16" s="18" t="s">
        <v>32</v>
      </c>
      <c r="Q16" s="19">
        <f t="shared" si="64"/>
        <v>0</v>
      </c>
      <c r="R16" s="20">
        <f>COUNTIF(S1,"Ocak")*(CF15)*-1
+COUNTIF(S1,"Şubat")*(CF16)*-1
+COUNTIF(S1,"Mart")*(CF17)*-1
+COUNTIF(S1,"Nisan")*(CF18)*-1
+COUNTIF(S1,"Mayıs")*(CF19)*-1
+COUNTIF(S1,"Haziran")*(CF20)*-1
+COUNTIF(S1,"Temmuz")*(CF21)*-1
+COUNTIF(S1,"Ağustos")*(CF22)*-1
+COUNTIF(S1,"Eylül")*(CF23)*-1
+COUNTIF(S1,"Ekim")*(CF24)*-1
+COUNTIF(S1,"Kasım")*(CF25)*-1
+COUNTIF(S1,"Aralık")*(CF26)*-1
+COUNTIF(S1,"Yıllık Toplam")*(CF27)*-1
+COUNTIF(S1,"Yıllık Ortalama")*(CF28)*-1</f>
        <v>0</v>
      </c>
      <c r="S16" s="69"/>
      <c r="T16" s="70"/>
      <c r="U16" s="21" t="s">
        <v>0</v>
      </c>
      <c r="V16" s="26" t="s">
        <v>0</v>
      </c>
      <c r="W16" s="71"/>
      <c r="X16" s="72"/>
      <c r="Y16" s="62"/>
      <c r="Z16" s="61"/>
      <c r="AA16" s="28" t="s">
        <v>91</v>
      </c>
      <c r="AB16" s="32">
        <v>145.61000000000001</v>
      </c>
      <c r="AC16" s="32">
        <v>183.35</v>
      </c>
      <c r="AD16" s="48">
        <f>(0.235445)</f>
        <v>0.23544499999999999</v>
      </c>
      <c r="AE16" s="48">
        <f>(0.333603)</f>
        <v>0.33360299999999998</v>
      </c>
      <c r="AF16" s="31" t="s">
        <v>0</v>
      </c>
      <c r="AG16" s="35" t="s">
        <v>0</v>
      </c>
      <c r="AH16" s="42">
        <f t="shared" si="68"/>
        <v>44774</v>
      </c>
      <c r="AI16" s="42">
        <f t="shared" si="46"/>
        <v>44804</v>
      </c>
      <c r="AJ16" s="43">
        <f t="shared" si="65"/>
        <v>31</v>
      </c>
      <c r="AK16" s="43">
        <f t="shared" si="66"/>
        <v>27</v>
      </c>
      <c r="AL16" s="43">
        <f t="shared" si="67"/>
        <v>4</v>
      </c>
      <c r="AM16" s="38" t="s">
        <v>0</v>
      </c>
      <c r="AN16" s="40">
        <f t="shared" si="47"/>
        <v>217.6493631367149</v>
      </c>
      <c r="AO16" s="40">
        <f t="shared" si="71"/>
        <v>183.35</v>
      </c>
      <c r="AP16" s="40">
        <f t="shared" si="49"/>
        <v>217.6493631367149</v>
      </c>
      <c r="AQ16" s="40">
        <f t="shared" si="72"/>
        <v>183.35</v>
      </c>
      <c r="AR16" s="40">
        <f t="shared" si="51"/>
        <v>217.6493631367149</v>
      </c>
      <c r="AS16" s="40">
        <f t="shared" si="73"/>
        <v>183.35</v>
      </c>
      <c r="AT16" s="38" t="s">
        <v>0</v>
      </c>
      <c r="AU16" s="39">
        <f t="shared" si="26"/>
        <v>6529.4808941014471</v>
      </c>
      <c r="AV16" s="32">
        <f t="shared" si="27"/>
        <v>5500.5</v>
      </c>
      <c r="AW16" s="33">
        <f t="shared" si="28"/>
        <v>0</v>
      </c>
      <c r="AX16" s="32">
        <f t="shared" si="29"/>
        <v>0</v>
      </c>
      <c r="AY16" s="32">
        <f t="shared" si="30"/>
        <v>0</v>
      </c>
      <c r="AZ16" s="33">
        <f t="shared" si="31"/>
        <v>0</v>
      </c>
      <c r="BA16" s="32">
        <f t="shared" si="32"/>
        <v>3713.6422585201976</v>
      </c>
      <c r="BB16" s="32">
        <f t="shared" si="33"/>
        <v>3128.4093749999997</v>
      </c>
      <c r="BC16" s="33">
        <f t="shared" si="34"/>
        <v>0</v>
      </c>
      <c r="BD16" s="32">
        <f t="shared" si="35"/>
        <v>0</v>
      </c>
      <c r="BE16" s="32">
        <f t="shared" si="36"/>
        <v>0</v>
      </c>
      <c r="BF16" s="31">
        <f>(8000)</f>
        <v>8000</v>
      </c>
      <c r="BG16" s="31" t="s">
        <v>0</v>
      </c>
      <c r="BH16" s="32">
        <f>($AD$16*$BF$16)</f>
        <v>1883.56</v>
      </c>
      <c r="BI16" s="32">
        <f>($AE$16*$BF$16)</f>
        <v>2668.8240000000001</v>
      </c>
      <c r="BJ16" s="46" t="s">
        <v>9</v>
      </c>
      <c r="BK16" s="32">
        <f>(5004)</f>
        <v>5004</v>
      </c>
      <c r="BL16" s="32">
        <f>(5004)</f>
        <v>5004</v>
      </c>
      <c r="BM16" s="32">
        <f t="shared" si="74"/>
        <v>0</v>
      </c>
      <c r="BN16" s="32">
        <f t="shared" si="75"/>
        <v>0</v>
      </c>
      <c r="BO16" s="32">
        <f>(0)</f>
        <v>0</v>
      </c>
      <c r="BP16" s="32">
        <f t="shared" si="76"/>
        <v>5004</v>
      </c>
      <c r="BQ16" s="32">
        <f t="shared" si="77"/>
        <v>-700.56000000000006</v>
      </c>
      <c r="BR16" s="32">
        <f t="shared" si="78"/>
        <v>-50.04</v>
      </c>
      <c r="BS16" s="32">
        <f ca="1">(AU9+AX9+BA9+BD9+BG9+BT9+BZ9+CC9+CF9+CI9+AW9)</f>
        <v>9948.2553021137974</v>
      </c>
      <c r="BT16" s="32">
        <f ca="1">(AU9+AX9+BA9+BD9+BG9+BT9+BZ9+CC9+CF9+CI9+AW9)</f>
        <v>9948.2553021137974</v>
      </c>
      <c r="BU16" s="32">
        <f ca="1">(BT16*0.00759*-1)</f>
        <v>-75.507257743043724</v>
      </c>
      <c r="BV16" s="32">
        <f>(BL16)</f>
        <v>5004</v>
      </c>
      <c r="BW16" s="32">
        <f>(BV16*0.00759*-1)</f>
        <v>-37.980360000000005</v>
      </c>
      <c r="BX16" s="32">
        <f ca="1">(BT16-BV16)</f>
        <v>4944.2553021137974</v>
      </c>
      <c r="BY16" s="32">
        <f ca="1">(BX16*0.00759*-1)</f>
        <v>-37.526897743043726</v>
      </c>
      <c r="BZ16" s="32">
        <f ca="1">(BY16)</f>
        <v>-37.526897743043726</v>
      </c>
      <c r="CA16" s="32">
        <f>(BL9+BW9+AZ9)</f>
        <v>240.24</v>
      </c>
      <c r="CB16" s="32">
        <f ca="1">(BT16-CA16)</f>
        <v>9708.0153021137976</v>
      </c>
      <c r="CC16" s="32">
        <f ca="1">IF(CB16&gt;=BK16*7.5,BK16*7.5,CB16)</f>
        <v>9708.0153021137976</v>
      </c>
      <c r="CD16" s="32">
        <f>(0)</f>
        <v>0</v>
      </c>
      <c r="CE16" s="32">
        <f>(0)</f>
        <v>0</v>
      </c>
      <c r="CF16" s="32">
        <f t="shared" ref="CF16:CF26" si="82">(CD16+CE16)</f>
        <v>0</v>
      </c>
      <c r="CG16" s="47">
        <f t="shared" ref="CG16:CG26" si="83">(100+(100*0.00759*-1)+(100*0.14*-1)+(100*0.01*-1))/100</f>
        <v>0.84240999999999999</v>
      </c>
      <c r="CH16" s="47">
        <f t="shared" si="79"/>
        <v>0.84240999999999999</v>
      </c>
      <c r="CI16" s="47">
        <f t="shared" si="80"/>
        <v>0.99241000000000001</v>
      </c>
      <c r="CK16" s="45" t="s">
        <v>0</v>
      </c>
      <c r="CL16" s="45" t="s">
        <v>0</v>
      </c>
      <c r="CM16" s="31">
        <v>14</v>
      </c>
      <c r="CN16" s="36">
        <v>7</v>
      </c>
      <c r="CO16" s="37">
        <v>0.16</v>
      </c>
      <c r="CP16" s="54"/>
    </row>
    <row r="17" spans="1:94" ht="39.950000000000003" customHeight="1" x14ac:dyDescent="0.25">
      <c r="A17" s="4">
        <f t="shared" si="69"/>
        <v>0</v>
      </c>
      <c r="B17" s="5" t="s">
        <v>12</v>
      </c>
      <c r="C17" s="15">
        <v>0</v>
      </c>
      <c r="D17" s="16">
        <v>91</v>
      </c>
      <c r="E17" s="16">
        <v>0</v>
      </c>
      <c r="F17" s="15">
        <v>27</v>
      </c>
      <c r="G17" s="15">
        <v>0</v>
      </c>
      <c r="H17" s="15">
        <v>0</v>
      </c>
      <c r="I17" s="13" t="s">
        <v>1</v>
      </c>
      <c r="J17" s="13" t="s">
        <v>1</v>
      </c>
      <c r="K17" s="13" t="s">
        <v>1</v>
      </c>
      <c r="L17" s="14">
        <v>0</v>
      </c>
      <c r="M17" s="6">
        <f ca="1">(BT17+AD25+AG25+BZ17+BK27+BL27+CF17-N17)</f>
        <v>9604.6526075184756</v>
      </c>
      <c r="N17" s="6">
        <f t="shared" ca="1" si="70"/>
        <v>3439.1523750000001</v>
      </c>
      <c r="O17" s="7">
        <f t="shared" ca="1" si="81"/>
        <v>13043.804982518475</v>
      </c>
      <c r="P17" s="18" t="s">
        <v>66</v>
      </c>
      <c r="Q17" s="19">
        <f t="shared" ca="1" si="64"/>
        <v>190398.82363583689</v>
      </c>
      <c r="R17" s="20">
        <f ca="1">COUNTIF(S1,"Ocak")*(BX20)
+COUNTIF(S1,"Şubat")*(BX21)
+COUNTIF(S1,"Mart")*(BX22)
+COUNTIF(S1,"Nisan")*(BX23)
+COUNTIF(S1,"Mayıs")*(BX24)
+COUNTIF(S1,"Haziran")*(BX25)
+COUNTIF(S1,"Temmuz")*(BX26)
+COUNTIF(S1,"Ağustos")*(BX27)
+COUNTIF(S1,"Eylül")*(BX28)
+COUNTIF(S1,"Ekim")*(BX29)
+COUNTIF(S1,"Kasım")*(BX30)
+COUNTIF(S1,"Aralık")*(BX31)
+COUNTIF(S1,"Yıllık Toplam")*(BX32)
+COUNTIF(S1,"Yıllık Ortalama")*(BX33)</f>
        <v>190398.82363583689</v>
      </c>
      <c r="S17" s="69"/>
      <c r="T17" s="70"/>
      <c r="U17" s="21" t="s">
        <v>0</v>
      </c>
      <c r="V17" s="26" t="s">
        <v>0</v>
      </c>
      <c r="W17" s="71"/>
      <c r="X17" s="72"/>
      <c r="Y17" s="62"/>
      <c r="Z17" s="61"/>
      <c r="AA17" s="28" t="s">
        <v>92</v>
      </c>
      <c r="AB17" s="32">
        <v>144.93</v>
      </c>
      <c r="AC17" s="32">
        <v>183.35</v>
      </c>
      <c r="AD17" s="48">
        <f>(3.68518)</f>
        <v>3.6851799999999999</v>
      </c>
      <c r="AE17" s="48">
        <f>(5.221532)</f>
        <v>5.2215319999999998</v>
      </c>
      <c r="AF17" s="31" t="s">
        <v>0</v>
      </c>
      <c r="AG17" s="35" t="s">
        <v>0</v>
      </c>
      <c r="AH17" s="42">
        <f t="shared" si="68"/>
        <v>44805</v>
      </c>
      <c r="AI17" s="42">
        <f t="shared" si="46"/>
        <v>44834</v>
      </c>
      <c r="AJ17" s="43">
        <f t="shared" si="65"/>
        <v>30</v>
      </c>
      <c r="AK17" s="43">
        <f t="shared" si="66"/>
        <v>26</v>
      </c>
      <c r="AL17" s="43">
        <f t="shared" si="67"/>
        <v>4</v>
      </c>
      <c r="AM17" s="38" t="s">
        <v>0</v>
      </c>
      <c r="AN17" s="40">
        <f t="shared" si="47"/>
        <v>217.6493631367149</v>
      </c>
      <c r="AO17" s="40">
        <f t="shared" si="71"/>
        <v>183.35</v>
      </c>
      <c r="AP17" s="40">
        <f t="shared" si="49"/>
        <v>217.6493631367149</v>
      </c>
      <c r="AQ17" s="40">
        <f t="shared" si="72"/>
        <v>183.35</v>
      </c>
      <c r="AR17" s="40">
        <f t="shared" si="51"/>
        <v>217.6493631367149</v>
      </c>
      <c r="AS17" s="40">
        <f t="shared" si="73"/>
        <v>183.35</v>
      </c>
      <c r="AT17" s="38" t="s">
        <v>0</v>
      </c>
      <c r="AU17" s="39">
        <f t="shared" si="26"/>
        <v>6747.130257238161</v>
      </c>
      <c r="AV17" s="32">
        <f t="shared" si="27"/>
        <v>5683.8499999999995</v>
      </c>
      <c r="AW17" s="33">
        <f t="shared" si="28"/>
        <v>0</v>
      </c>
      <c r="AX17" s="32">
        <f t="shared" si="29"/>
        <v>0</v>
      </c>
      <c r="AY17" s="32">
        <f t="shared" si="30"/>
        <v>0</v>
      </c>
      <c r="AZ17" s="33">
        <f t="shared" si="31"/>
        <v>0</v>
      </c>
      <c r="BA17" s="32">
        <f t="shared" si="32"/>
        <v>3713.6422585201976</v>
      </c>
      <c r="BB17" s="32">
        <f t="shared" si="33"/>
        <v>3128.4093749999997</v>
      </c>
      <c r="BC17" s="33">
        <f t="shared" si="34"/>
        <v>0</v>
      </c>
      <c r="BD17" s="32">
        <f t="shared" si="35"/>
        <v>0</v>
      </c>
      <c r="BE17" s="32">
        <f t="shared" si="36"/>
        <v>0</v>
      </c>
      <c r="BF17" s="31">
        <f>(500)</f>
        <v>500</v>
      </c>
      <c r="BG17" s="31" t="s">
        <v>0</v>
      </c>
      <c r="BH17" s="32">
        <f>($AD$16*$BF$17)</f>
        <v>117.7225</v>
      </c>
      <c r="BI17" s="32">
        <f>($AE$16*$BF$17)</f>
        <v>166.8015</v>
      </c>
      <c r="BJ17" s="46" t="s">
        <v>9</v>
      </c>
      <c r="BK17" s="32">
        <f>(5004)</f>
        <v>5004</v>
      </c>
      <c r="BL17" s="32">
        <f>(5004)</f>
        <v>5004</v>
      </c>
      <c r="BM17" s="32">
        <f t="shared" si="74"/>
        <v>0</v>
      </c>
      <c r="BN17" s="32">
        <f t="shared" si="75"/>
        <v>0</v>
      </c>
      <c r="BO17" s="32">
        <f>(0)</f>
        <v>0</v>
      </c>
      <c r="BP17" s="32">
        <f t="shared" si="76"/>
        <v>5004</v>
      </c>
      <c r="BQ17" s="32">
        <f t="shared" si="77"/>
        <v>-700.56000000000006</v>
      </c>
      <c r="BR17" s="32">
        <f t="shared" si="78"/>
        <v>-50.04</v>
      </c>
      <c r="BS17" s="32">
        <f ca="1">(AU10+AX10+BA10+BD10+BG10+BT10+BZ10+CC10+CF10+CI10+AW10)</f>
        <v>15574.508882909045</v>
      </c>
      <c r="BT17" s="32">
        <f ca="1">(AU10+AX10+BA10+BD10+BG10+BT10+BZ10+CC10+CF10+CI10+AW10)</f>
        <v>15574.508882909045</v>
      </c>
      <c r="BU17" s="32">
        <f ca="1">(BT17*0.00759*-1)</f>
        <v>-118.21052242127966</v>
      </c>
      <c r="BV17" s="32">
        <f>(BL17)</f>
        <v>5004</v>
      </c>
      <c r="BW17" s="32">
        <f>(BV17*0.00759*-1)</f>
        <v>-37.980360000000005</v>
      </c>
      <c r="BX17" s="32">
        <f ca="1">(BT17-BV17)</f>
        <v>10570.508882909045</v>
      </c>
      <c r="BY17" s="32">
        <f ca="1">(BX17*0.00759*-1)</f>
        <v>-80.230162421279658</v>
      </c>
      <c r="BZ17" s="32">
        <f ca="1">(BY17)</f>
        <v>-80.230162421279658</v>
      </c>
      <c r="CA17" s="32">
        <f>(BL10+BW10+AZ10)</f>
        <v>270.27</v>
      </c>
      <c r="CB17" s="32">
        <f ca="1">(BT17-CA17)</f>
        <v>15304.238882909045</v>
      </c>
      <c r="CC17" s="32">
        <f ca="1">IF(CB17&gt;=BK17*7.5,BK17*7.5,CB17)</f>
        <v>15304.238882909045</v>
      </c>
      <c r="CD17" s="32">
        <f>(0)</f>
        <v>0</v>
      </c>
      <c r="CE17" s="32">
        <f>(0)</f>
        <v>0</v>
      </c>
      <c r="CF17" s="32">
        <f t="shared" si="82"/>
        <v>0</v>
      </c>
      <c r="CG17" s="47">
        <f t="shared" si="83"/>
        <v>0.84240999999999999</v>
      </c>
      <c r="CH17" s="47">
        <f t="shared" si="79"/>
        <v>0.84240999999999999</v>
      </c>
      <c r="CI17" s="47">
        <f t="shared" si="80"/>
        <v>0.99241000000000001</v>
      </c>
      <c r="CK17" s="45" t="s">
        <v>0</v>
      </c>
      <c r="CL17" s="45" t="s">
        <v>0</v>
      </c>
      <c r="CM17" s="31">
        <v>15</v>
      </c>
      <c r="CN17" s="36">
        <v>7.5</v>
      </c>
      <c r="CO17" s="37">
        <v>0.17</v>
      </c>
      <c r="CP17" s="54"/>
    </row>
    <row r="18" spans="1:94" ht="39.950000000000003" customHeight="1" x14ac:dyDescent="0.25">
      <c r="A18" s="4">
        <f t="shared" si="69"/>
        <v>0</v>
      </c>
      <c r="B18" s="5" t="s">
        <v>13</v>
      </c>
      <c r="C18" s="15">
        <v>0</v>
      </c>
      <c r="D18" s="16">
        <v>126</v>
      </c>
      <c r="E18" s="16">
        <v>0</v>
      </c>
      <c r="F18" s="15">
        <v>26</v>
      </c>
      <c r="G18" s="15">
        <v>0</v>
      </c>
      <c r="H18" s="15">
        <v>0</v>
      </c>
      <c r="I18" s="13" t="s">
        <v>1</v>
      </c>
      <c r="J18" s="13" t="s">
        <v>1</v>
      </c>
      <c r="K18" s="13" t="s">
        <v>1</v>
      </c>
      <c r="L18" s="14">
        <v>0</v>
      </c>
      <c r="M18" s="6">
        <f ca="1">(BT18+AD26+AG26+BZ18+BK28+BL28+CF18-N18)</f>
        <v>5111.8222085005928</v>
      </c>
      <c r="N18" s="6">
        <f t="shared" ca="1" si="70"/>
        <v>4215.44175</v>
      </c>
      <c r="O18" s="7">
        <f t="shared" ca="1" si="81"/>
        <v>9327.2639585005927</v>
      </c>
      <c r="P18" s="21" t="s">
        <v>40</v>
      </c>
      <c r="Q18" s="19">
        <f t="shared" ca="1" si="64"/>
        <v>136634.79222823781</v>
      </c>
      <c r="R18" s="19">
        <f ca="1">COUNTIF(S1,"Ocak")*O15
+COUNTIF(S1,"Şubat")*O16
+COUNTIF(S1,"Mart")*O17
+COUNTIF(S1,"Nisan")*O18
+COUNTIF(S1,"Mayıs")*O19
+COUNTIF(S1,"Haziran")*O20
+COUNTIF(S1,"Temmuz")*O21
+COUNTIF(S1,"Ağustos")*O22
+COUNTIF(S1,"Eylül")*O23
+COUNTIF(S1,"Ekim")*O24
+COUNTIF(S1,"Kasım")*O25
+COUNTIF(S1,"Aralık")*O26
+COUNTIF(S1,"Yıllık Toplam")*(O27)*-1
+COUNTIF(S1,"Yıllık Ortalama")*(O28)*-1</f>
        <v>-136634.79222823781</v>
      </c>
      <c r="S18" s="69"/>
      <c r="T18" s="70"/>
      <c r="U18" s="21" t="s">
        <v>0</v>
      </c>
      <c r="V18" s="26" t="s">
        <v>0</v>
      </c>
      <c r="W18" s="71"/>
      <c r="X18" s="72"/>
      <c r="Y18" s="62"/>
      <c r="Z18" s="61"/>
      <c r="AA18" s="28" t="s">
        <v>74</v>
      </c>
      <c r="AB18" s="32">
        <v>144.24</v>
      </c>
      <c r="AC18" s="32">
        <v>183.35</v>
      </c>
      <c r="AD18" s="48">
        <f>(0.074667)</f>
        <v>7.4666999999999997E-2</v>
      </c>
      <c r="AE18" s="48">
        <f>(0.105796)</f>
        <v>0.105796</v>
      </c>
      <c r="AF18" s="31" t="s">
        <v>0</v>
      </c>
      <c r="AG18" s="35" t="s">
        <v>0</v>
      </c>
      <c r="AH18" s="42">
        <f t="shared" si="68"/>
        <v>44835</v>
      </c>
      <c r="AI18" s="42">
        <f t="shared" si="46"/>
        <v>44865</v>
      </c>
      <c r="AJ18" s="43">
        <f t="shared" si="65"/>
        <v>31</v>
      </c>
      <c r="AK18" s="43">
        <f t="shared" si="66"/>
        <v>26</v>
      </c>
      <c r="AL18" s="43">
        <f t="shared" si="67"/>
        <v>5</v>
      </c>
      <c r="AM18" s="38" t="s">
        <v>0</v>
      </c>
      <c r="AN18" s="40">
        <f t="shared" si="47"/>
        <v>217.6493631367149</v>
      </c>
      <c r="AO18" s="40">
        <f t="shared" si="71"/>
        <v>183.35</v>
      </c>
      <c r="AP18" s="40">
        <f t="shared" si="49"/>
        <v>217.6493631367149</v>
      </c>
      <c r="AQ18" s="40">
        <f t="shared" si="72"/>
        <v>183.35</v>
      </c>
      <c r="AR18" s="40">
        <f t="shared" si="51"/>
        <v>217.6493631367149</v>
      </c>
      <c r="AS18" s="40">
        <f t="shared" si="73"/>
        <v>183.35</v>
      </c>
      <c r="AT18" s="38" t="s">
        <v>0</v>
      </c>
      <c r="AU18" s="39">
        <f t="shared" si="26"/>
        <v>6529.4808941014471</v>
      </c>
      <c r="AV18" s="32">
        <f t="shared" si="27"/>
        <v>5500.5</v>
      </c>
      <c r="AW18" s="33">
        <f t="shared" si="28"/>
        <v>0</v>
      </c>
      <c r="AX18" s="32">
        <f t="shared" si="29"/>
        <v>0</v>
      </c>
      <c r="AY18" s="32">
        <f t="shared" si="30"/>
        <v>0</v>
      </c>
      <c r="AZ18" s="33">
        <f t="shared" si="31"/>
        <v>0</v>
      </c>
      <c r="BA18" s="32">
        <f t="shared" si="32"/>
        <v>3961.218409088211</v>
      </c>
      <c r="BB18" s="32">
        <f t="shared" si="33"/>
        <v>3336.97</v>
      </c>
      <c r="BC18" s="33">
        <f t="shared" si="34"/>
        <v>0</v>
      </c>
      <c r="BD18" s="32">
        <f t="shared" si="35"/>
        <v>0</v>
      </c>
      <c r="BE18" s="32">
        <f t="shared" si="36"/>
        <v>0</v>
      </c>
      <c r="BF18" s="31">
        <f>(1000)</f>
        <v>1000</v>
      </c>
      <c r="BG18" s="31" t="s">
        <v>0</v>
      </c>
      <c r="BH18" s="32">
        <f>($AD$17*$BF$18)</f>
        <v>3685.18</v>
      </c>
      <c r="BI18" s="32">
        <f>($AE$17*$BF$18)</f>
        <v>5221.5320000000002</v>
      </c>
      <c r="BJ18" s="46" t="s">
        <v>9</v>
      </c>
      <c r="BK18" s="32">
        <f>(5004)</f>
        <v>5004</v>
      </c>
      <c r="BL18" s="32">
        <f>(5004)</f>
        <v>5004</v>
      </c>
      <c r="BM18" s="32">
        <f t="shared" si="74"/>
        <v>0</v>
      </c>
      <c r="BN18" s="32">
        <f t="shared" si="75"/>
        <v>0</v>
      </c>
      <c r="BO18" s="32">
        <f>(0)</f>
        <v>0</v>
      </c>
      <c r="BP18" s="32">
        <f t="shared" si="76"/>
        <v>5004</v>
      </c>
      <c r="BQ18" s="32">
        <f t="shared" si="77"/>
        <v>-700.56000000000006</v>
      </c>
      <c r="BR18" s="32">
        <f t="shared" si="78"/>
        <v>-50.04</v>
      </c>
      <c r="BS18" s="32">
        <f ca="1">(AU11+AX11+BA11+BD11+BG11+BT11+BZ11+CC11+CF11+CI11+AW11)</f>
        <v>11164.495321795241</v>
      </c>
      <c r="BT18" s="32">
        <f ca="1">(AU11+AX11+BA11+BD11+BG11+BT11+BZ11+CC11+CF11+CI11+AW11)</f>
        <v>11164.495321795241</v>
      </c>
      <c r="BU18" s="32">
        <f ca="1">(BT18*0.00759*-1)</f>
        <v>-84.73851949242588</v>
      </c>
      <c r="BV18" s="32">
        <f>(BL18)</f>
        <v>5004</v>
      </c>
      <c r="BW18" s="32">
        <f>(BV18*0.00759*-1)</f>
        <v>-37.980360000000005</v>
      </c>
      <c r="BX18" s="32">
        <f ca="1">(BT18-BV18)</f>
        <v>6160.4953217952407</v>
      </c>
      <c r="BY18" s="32">
        <f ca="1">(BX18*0.00759*-1)</f>
        <v>-46.758159492425882</v>
      </c>
      <c r="BZ18" s="32">
        <f ca="1">(BY18)</f>
        <v>-46.758159492425882</v>
      </c>
      <c r="CA18" s="32">
        <f>(BL11+BW11+AZ11)</f>
        <v>260.26</v>
      </c>
      <c r="CB18" s="32">
        <f ca="1">(BT18-CA18)</f>
        <v>10904.23532179524</v>
      </c>
      <c r="CC18" s="32">
        <f ca="1">IF(CB18&gt;=BK18*7.5,BK18*7.5,CB18)</f>
        <v>10904.23532179524</v>
      </c>
      <c r="CD18" s="32">
        <f>(0)</f>
        <v>0</v>
      </c>
      <c r="CE18" s="32">
        <f>(0)</f>
        <v>0</v>
      </c>
      <c r="CF18" s="32">
        <f t="shared" si="82"/>
        <v>0</v>
      </c>
      <c r="CG18" s="47">
        <f t="shared" si="83"/>
        <v>0.84240999999999999</v>
      </c>
      <c r="CH18" s="47">
        <f t="shared" si="79"/>
        <v>0.84240999999999999</v>
      </c>
      <c r="CI18" s="47">
        <f t="shared" si="80"/>
        <v>0.99241000000000001</v>
      </c>
      <c r="CK18" s="45" t="s">
        <v>0</v>
      </c>
      <c r="CL18" s="45" t="s">
        <v>0</v>
      </c>
      <c r="CM18" s="31">
        <v>16</v>
      </c>
      <c r="CN18" s="36">
        <v>8</v>
      </c>
      <c r="CO18" s="37">
        <v>0.18</v>
      </c>
      <c r="CP18" s="54"/>
    </row>
    <row r="19" spans="1:94" ht="39.950000000000003" customHeight="1" x14ac:dyDescent="0.25">
      <c r="A19" s="4">
        <f t="shared" si="69"/>
        <v>0</v>
      </c>
      <c r="B19" s="5" t="s">
        <v>14</v>
      </c>
      <c r="C19" s="15">
        <v>0</v>
      </c>
      <c r="D19" s="16">
        <v>91</v>
      </c>
      <c r="E19" s="16">
        <v>0</v>
      </c>
      <c r="F19" s="15">
        <v>26</v>
      </c>
      <c r="G19" s="15">
        <v>0</v>
      </c>
      <c r="H19" s="15">
        <v>0</v>
      </c>
      <c r="I19" s="13" t="s">
        <v>1</v>
      </c>
      <c r="J19" s="13" t="s">
        <v>1</v>
      </c>
      <c r="K19" s="13" t="s">
        <v>1</v>
      </c>
      <c r="L19" s="14">
        <v>0</v>
      </c>
      <c r="M19" s="6">
        <f ca="1">(BT19+AD27+AG27+BZ19+BK29+BL29+CF19-N19)</f>
        <v>5256.752208500593</v>
      </c>
      <c r="N19" s="6">
        <f t="shared" ca="1" si="70"/>
        <v>3391.1523750000001</v>
      </c>
      <c r="O19" s="7">
        <f t="shared" ca="1" si="81"/>
        <v>8647.9045835005927</v>
      </c>
      <c r="P19" s="21" t="s">
        <v>41</v>
      </c>
      <c r="Q19" s="19">
        <f t="shared" ca="1" si="64"/>
        <v>26797.674411965534</v>
      </c>
      <c r="R19" s="19">
        <f ca="1">COUNTIF(S1,"Ocak")*(BT15-O15)
+COUNTIF(S1,"Şubat")*(BT16-O16)
+COUNTIF(S1,"Mart")*(BT17-O17)
+COUNTIF(S1,"Nisan")*(BT18-O18)
+COUNTIF(S1,"Mayıs")*(BT19-O19)
+COUNTIF(S1,"Haziran")*(AI5-O20)
+COUNTIF(S1,"Temmuz")*(AI6-O21)
+COUNTIF(S1,"Ağustos")*(AI7-O22)
+COUNTIF(S1,"Eylül")*(AI8-O23)
+COUNTIF(S1,"Ekim")*(BY1-O24)
+COUNTIF(S1,"Kasım")*(BY2-O25)
+COUNTIF(S1,"Aralık")*(BY3-O26)
+COUNTIF(S1,"Yıllık Toplam")*(BY4-O27)*-1
+COUNTIF(S1,"Yıllık Ortalama")*(BY5-O28)*-1</f>
        <v>-26797.674411965534</v>
      </c>
      <c r="S19" s="69"/>
      <c r="T19" s="70"/>
      <c r="U19" s="21" t="s">
        <v>0</v>
      </c>
      <c r="V19" s="26" t="s">
        <v>0</v>
      </c>
      <c r="W19" s="71"/>
      <c r="X19" s="72"/>
      <c r="Y19" s="62"/>
      <c r="Z19" s="61"/>
      <c r="AA19" s="28" t="s">
        <v>93</v>
      </c>
      <c r="AB19" s="32">
        <v>145.61000000000001</v>
      </c>
      <c r="AC19" s="32">
        <v>183.35</v>
      </c>
      <c r="AD19" s="38">
        <f>($AD$20*2)</f>
        <v>19000</v>
      </c>
      <c r="AE19" s="31" t="s">
        <v>0</v>
      </c>
      <c r="AF19" s="32">
        <f>($AD$16*$AD$19)</f>
        <v>4473.4549999999999</v>
      </c>
      <c r="AG19" s="32">
        <f>($AE$16*$AD$19)</f>
        <v>6338.4569999999994</v>
      </c>
      <c r="AH19" s="42">
        <f t="shared" si="68"/>
        <v>44866</v>
      </c>
      <c r="AI19" s="42">
        <f t="shared" si="46"/>
        <v>44895</v>
      </c>
      <c r="AJ19" s="43">
        <f t="shared" si="65"/>
        <v>30</v>
      </c>
      <c r="AK19" s="43">
        <f t="shared" si="66"/>
        <v>26</v>
      </c>
      <c r="AL19" s="43">
        <f t="shared" si="67"/>
        <v>4</v>
      </c>
      <c r="AM19" s="38" t="s">
        <v>0</v>
      </c>
      <c r="AN19" s="40">
        <f t="shared" si="47"/>
        <v>217.6493631367149</v>
      </c>
      <c r="AO19" s="40">
        <f t="shared" si="71"/>
        <v>183.35</v>
      </c>
      <c r="AP19" s="40">
        <f t="shared" si="49"/>
        <v>217.6493631367149</v>
      </c>
      <c r="AQ19" s="40">
        <f t="shared" si="72"/>
        <v>183.35</v>
      </c>
      <c r="AR19" s="40">
        <f t="shared" si="51"/>
        <v>217.6493631367149</v>
      </c>
      <c r="AS19" s="40">
        <f t="shared" si="73"/>
        <v>183.35</v>
      </c>
      <c r="AT19" s="38" t="s">
        <v>0</v>
      </c>
      <c r="AU19" s="39">
        <f t="shared" si="26"/>
        <v>6747.130257238161</v>
      </c>
      <c r="AV19" s="32">
        <f t="shared" si="27"/>
        <v>5683.8499999999995</v>
      </c>
      <c r="AW19" s="33">
        <f t="shared" si="28"/>
        <v>0</v>
      </c>
      <c r="AX19" s="32">
        <f t="shared" si="29"/>
        <v>0</v>
      </c>
      <c r="AY19" s="32">
        <f t="shared" si="30"/>
        <v>0</v>
      </c>
      <c r="AZ19" s="33">
        <f t="shared" si="31"/>
        <v>0</v>
      </c>
      <c r="BA19" s="32">
        <f t="shared" si="32"/>
        <v>3466.0661079521842</v>
      </c>
      <c r="BB19" s="32">
        <f t="shared" si="33"/>
        <v>2919.8487499999997</v>
      </c>
      <c r="BC19" s="33">
        <f t="shared" si="34"/>
        <v>0</v>
      </c>
      <c r="BD19" s="32">
        <f t="shared" si="35"/>
        <v>0</v>
      </c>
      <c r="BE19" s="32">
        <f t="shared" si="36"/>
        <v>0</v>
      </c>
      <c r="BF19" s="31">
        <f>($BF$15+$BF$16)</f>
        <v>9500</v>
      </c>
      <c r="BG19" s="31">
        <f>(2.15)</f>
        <v>2.15</v>
      </c>
      <c r="BH19" s="32">
        <f>($AD$16*$BF$19*$BG$19)</f>
        <v>4808.9641249999995</v>
      </c>
      <c r="BI19" s="32">
        <f>($AE$16*$BF$19*$BG$19)</f>
        <v>6813.8412749999989</v>
      </c>
      <c r="BJ19" s="46" t="s">
        <v>9</v>
      </c>
      <c r="BK19" s="32">
        <f>(5004)</f>
        <v>5004</v>
      </c>
      <c r="BL19" s="32">
        <f>(5004)</f>
        <v>5004</v>
      </c>
      <c r="BM19" s="32">
        <f t="shared" si="74"/>
        <v>0</v>
      </c>
      <c r="BN19" s="32">
        <f t="shared" si="75"/>
        <v>0</v>
      </c>
      <c r="BO19" s="32">
        <f>(0)</f>
        <v>0</v>
      </c>
      <c r="BP19" s="32">
        <f t="shared" si="76"/>
        <v>5004</v>
      </c>
      <c r="BQ19" s="32">
        <f t="shared" si="77"/>
        <v>-700.56000000000006</v>
      </c>
      <c r="BR19" s="32">
        <f t="shared" si="78"/>
        <v>-50.04</v>
      </c>
      <c r="BS19" s="32">
        <f ca="1">(AU12+AX12+BA12+BD12+BG12+BT12+BZ12+CC12+CF12+CI12+AW12)</f>
        <v>10358.047897144535</v>
      </c>
      <c r="BT19" s="32">
        <f ca="1">(AU12+AX12+BA12+BD12+BG12+BT12+BZ12+CC12+CF12+CI12+AW12)</f>
        <v>10358.047897144535</v>
      </c>
      <c r="BU19" s="32">
        <f ca="1">(BT19*0.00759*-1)</f>
        <v>-78.617583539327029</v>
      </c>
      <c r="BV19" s="32">
        <f>(BL19)</f>
        <v>5004</v>
      </c>
      <c r="BW19" s="32">
        <f>(BV19*0.00759*-1)</f>
        <v>-37.980360000000005</v>
      </c>
      <c r="BX19" s="32">
        <f ca="1">(BT19-BV19)</f>
        <v>5354.0478971445355</v>
      </c>
      <c r="BY19" s="32">
        <f ca="1">(BX19*0.00759*-1)</f>
        <v>-40.637223539327024</v>
      </c>
      <c r="BZ19" s="32">
        <f ca="1">(BY19)</f>
        <v>-40.637223539327024</v>
      </c>
      <c r="CA19" s="32">
        <f>(BL12+BW12+AZ12)</f>
        <v>260.26</v>
      </c>
      <c r="CB19" s="32">
        <f ca="1">(BT19-CA19)</f>
        <v>10097.787897144535</v>
      </c>
      <c r="CC19" s="32">
        <f ca="1">IF(CB19&gt;=BK19*7.5,BK19*7.5,CB19)</f>
        <v>10097.787897144535</v>
      </c>
      <c r="CD19" s="32">
        <f>(0)</f>
        <v>0</v>
      </c>
      <c r="CE19" s="32">
        <f>(0)</f>
        <v>0</v>
      </c>
      <c r="CF19" s="32">
        <f t="shared" si="82"/>
        <v>0</v>
      </c>
      <c r="CG19" s="47">
        <f t="shared" si="83"/>
        <v>0.84240999999999999</v>
      </c>
      <c r="CH19" s="47">
        <f t="shared" si="79"/>
        <v>0.84240999999999999</v>
      </c>
      <c r="CI19" s="47">
        <f t="shared" si="80"/>
        <v>0.99241000000000001</v>
      </c>
      <c r="CK19" s="45" t="s">
        <v>0</v>
      </c>
      <c r="CL19" s="45" t="s">
        <v>0</v>
      </c>
      <c r="CM19" s="31">
        <v>17</v>
      </c>
      <c r="CN19" s="36">
        <v>8.5</v>
      </c>
      <c r="CO19" s="37">
        <v>0.19</v>
      </c>
      <c r="CP19" s="54"/>
    </row>
    <row r="20" spans="1:94" ht="39.950000000000003" customHeight="1" x14ac:dyDescent="0.25">
      <c r="A20" s="4">
        <f t="shared" si="69"/>
        <v>0</v>
      </c>
      <c r="B20" s="5" t="s">
        <v>15</v>
      </c>
      <c r="C20" s="15">
        <v>0</v>
      </c>
      <c r="D20" s="16">
        <v>119</v>
      </c>
      <c r="E20" s="16">
        <v>0</v>
      </c>
      <c r="F20" s="15">
        <v>26</v>
      </c>
      <c r="G20" s="15">
        <v>0</v>
      </c>
      <c r="H20" s="15">
        <v>0</v>
      </c>
      <c r="I20" s="13" t="s">
        <v>1</v>
      </c>
      <c r="J20" s="13" t="s">
        <v>1</v>
      </c>
      <c r="K20" s="13" t="s">
        <v>1</v>
      </c>
      <c r="L20" s="14">
        <v>0</v>
      </c>
      <c r="M20" s="6">
        <f ca="1">(AI5+AD28+AG28+AO5+AS5+BL30+CF20-N20)</f>
        <v>9459.7222085005924</v>
      </c>
      <c r="N20" s="6">
        <f t="shared" ca="1" si="70"/>
        <v>4050.5838750000003</v>
      </c>
      <c r="O20" s="7">
        <f t="shared" ca="1" si="81"/>
        <v>13510.306083500593</v>
      </c>
      <c r="P20" s="18" t="s">
        <v>0</v>
      </c>
      <c r="Q20" s="19" t="s">
        <v>0</v>
      </c>
      <c r="R20" s="19" t="s">
        <v>0</v>
      </c>
      <c r="S20" s="69"/>
      <c r="T20" s="70"/>
      <c r="U20" s="21" t="s">
        <v>0</v>
      </c>
      <c r="V20" s="26" t="s">
        <v>0</v>
      </c>
      <c r="W20" s="71"/>
      <c r="X20" s="72"/>
      <c r="Y20" s="62"/>
      <c r="Z20" s="61"/>
      <c r="AA20" s="28" t="s">
        <v>94</v>
      </c>
      <c r="AB20" s="32">
        <v>144.93</v>
      </c>
      <c r="AC20" s="32">
        <v>183.35</v>
      </c>
      <c r="AD20" s="38">
        <f>(9500)</f>
        <v>9500</v>
      </c>
      <c r="AE20" s="31" t="s">
        <v>0</v>
      </c>
      <c r="AF20" s="32">
        <f>($AD$16*$AD$20)</f>
        <v>2236.7275</v>
      </c>
      <c r="AG20" s="32">
        <f>($AE$16*$AD$20)</f>
        <v>3169.2284999999997</v>
      </c>
      <c r="AH20" s="42">
        <f t="shared" si="68"/>
        <v>44896</v>
      </c>
      <c r="AI20" s="42">
        <f t="shared" si="46"/>
        <v>44926</v>
      </c>
      <c r="AJ20" s="43">
        <f t="shared" si="65"/>
        <v>31</v>
      </c>
      <c r="AK20" s="43">
        <f t="shared" si="66"/>
        <v>27</v>
      </c>
      <c r="AL20" s="43">
        <f t="shared" si="67"/>
        <v>4</v>
      </c>
      <c r="AM20" s="38" t="s">
        <v>0</v>
      </c>
      <c r="AN20" s="40">
        <f t="shared" si="47"/>
        <v>217.6493631367149</v>
      </c>
      <c r="AO20" s="40">
        <f t="shared" si="71"/>
        <v>183.35</v>
      </c>
      <c r="AP20" s="40">
        <f t="shared" si="49"/>
        <v>217.6493631367149</v>
      </c>
      <c r="AQ20" s="40">
        <f t="shared" si="72"/>
        <v>183.35</v>
      </c>
      <c r="AR20" s="40">
        <f t="shared" si="51"/>
        <v>217.6493631367149</v>
      </c>
      <c r="AS20" s="40">
        <f t="shared" si="73"/>
        <v>183.35</v>
      </c>
      <c r="AT20" s="38" t="s">
        <v>0</v>
      </c>
      <c r="AU20" s="32">
        <f t="shared" ref="AU20:AV20" si="84">(AU8+AU9+AU10+AU11+AU12+AU13+AU14+AU15+AU16+AU17+AU18+AU19)</f>
        <v>71187.106041001418</v>
      </c>
      <c r="AV20" s="32">
        <f t="shared" si="84"/>
        <v>59968.729999999996</v>
      </c>
      <c r="AW20" s="32">
        <f t="shared" ref="AW20" si="85">(AW8+AW9+AW10+AW11+AW12+AW13+AW14+AW15+AW16+AW17+AW18+AW19)</f>
        <v>0</v>
      </c>
      <c r="AX20" s="32">
        <f t="shared" ref="AX20:AY20" si="86">(AX8+AX9+AX10+AX11+AX12+AX13+AX14+AX15+AX16+AX17+AX18+AX19)</f>
        <v>0</v>
      </c>
      <c r="AY20" s="32">
        <f t="shared" si="86"/>
        <v>0</v>
      </c>
      <c r="AZ20" s="32">
        <f t="shared" ref="AZ20" si="87">(AZ8+AZ9+AZ10+AZ11+AZ12+AZ13+AZ14+AZ15+AZ16+AZ17+AZ18+AZ19)</f>
        <v>0</v>
      </c>
      <c r="BA20" s="32">
        <f t="shared" ref="BA20:BB20" si="88">(BA8+BA9+BA10+BA11+BA12+BA13+BA14+BA15+BA16+BA17+BA18+BA19)</f>
        <v>39894.66530549257</v>
      </c>
      <c r="BB20" s="32">
        <f t="shared" si="88"/>
        <v>33607.665000000001</v>
      </c>
      <c r="BC20" s="32">
        <f t="shared" ref="BC20" si="89">(BC8+BC9+BC10+BC11+BC12+BC13+BC14+BC15+BC16+BC17+BC18+BC19)</f>
        <v>0</v>
      </c>
      <c r="BD20" s="32">
        <f t="shared" ref="BD20:BE20" si="90">(BD8+BD9+BD10+BD11+BD12+BD13+BD14+BD15+BD16+BD17+BD18+BD19)</f>
        <v>0</v>
      </c>
      <c r="BE20" s="32">
        <f t="shared" si="90"/>
        <v>0</v>
      </c>
      <c r="BF20" s="31" t="s">
        <v>0</v>
      </c>
      <c r="BG20" s="31" t="s">
        <v>0</v>
      </c>
      <c r="BH20" s="32">
        <f>($BH$15+$BH$16+$BH$17+$BH$18+$BH$19)</f>
        <v>10848.594125</v>
      </c>
      <c r="BI20" s="32">
        <f>($BI$15+$BI$16+$BI$17+$BI$18+$BI$19)</f>
        <v>15371.403274999999</v>
      </c>
      <c r="BJ20" s="46" t="s">
        <v>9</v>
      </c>
      <c r="BK20" s="32">
        <f>(5004)</f>
        <v>5004</v>
      </c>
      <c r="BL20" s="32">
        <f>(5004)</f>
        <v>5004</v>
      </c>
      <c r="BM20" s="32">
        <f t="shared" si="74"/>
        <v>0</v>
      </c>
      <c r="BN20" s="32">
        <f t="shared" si="75"/>
        <v>0</v>
      </c>
      <c r="BO20" s="32">
        <f>(0)</f>
        <v>0</v>
      </c>
      <c r="BP20" s="32">
        <f t="shared" si="76"/>
        <v>5004</v>
      </c>
      <c r="BQ20" s="32">
        <f t="shared" si="77"/>
        <v>-700.56000000000006</v>
      </c>
      <c r="BR20" s="32">
        <f t="shared" si="78"/>
        <v>-50.04</v>
      </c>
      <c r="BS20" s="32" t="s">
        <v>0</v>
      </c>
      <c r="BT20" s="32">
        <f ca="1">(BT15)</f>
        <v>9956.8180614445355</v>
      </c>
      <c r="BU20" s="32">
        <f ca="1">(BT20*0.205)</f>
        <v>2041.1477025961296</v>
      </c>
      <c r="BV20" s="32">
        <f ca="1">(BT20*0.01)</f>
        <v>99.568180614445353</v>
      </c>
      <c r="BW20" s="32">
        <f ca="1">(BT20*0.05*-1)</f>
        <v>-497.84090307222681</v>
      </c>
      <c r="BX20" s="32">
        <f ca="1">(BT20+BU20+BV20+BW20)</f>
        <v>11599.693041582885</v>
      </c>
      <c r="BY20" s="32">
        <f ca="1">(CD1)</f>
        <v>-49.007704388227431</v>
      </c>
      <c r="BZ20" s="32">
        <f>(AY3+BJ3+AZ17)</f>
        <v>336.44</v>
      </c>
      <c r="CA20" s="32">
        <f ca="1">(BY1-BZ20)</f>
        <v>12591.438048514812</v>
      </c>
      <c r="CB20" s="32">
        <f ca="1">IF(CA20&gt;=AL2*7.5,AL2*7.5,CA20)</f>
        <v>12591.438048514812</v>
      </c>
      <c r="CD20" s="32">
        <f>(0)</f>
        <v>0</v>
      </c>
      <c r="CE20" s="32">
        <f>(0)</f>
        <v>0</v>
      </c>
      <c r="CF20" s="32">
        <f t="shared" si="82"/>
        <v>0</v>
      </c>
      <c r="CG20" s="47">
        <f t="shared" si="83"/>
        <v>0.84240999999999999</v>
      </c>
      <c r="CH20" s="47">
        <f t="shared" si="79"/>
        <v>0.84240999999999999</v>
      </c>
      <c r="CI20" s="47">
        <f t="shared" si="80"/>
        <v>0.99241000000000001</v>
      </c>
      <c r="CK20" s="45" t="s">
        <v>0</v>
      </c>
      <c r="CL20" s="45" t="s">
        <v>0</v>
      </c>
      <c r="CM20" s="31">
        <v>18</v>
      </c>
      <c r="CN20" s="36">
        <v>9</v>
      </c>
      <c r="CO20" s="37">
        <v>0.2</v>
      </c>
      <c r="CP20" s="54"/>
    </row>
    <row r="21" spans="1:94" ht="39.950000000000003" customHeight="1" x14ac:dyDescent="0.25">
      <c r="A21" s="4">
        <f t="shared" si="69"/>
        <v>0</v>
      </c>
      <c r="B21" s="5" t="s">
        <v>16</v>
      </c>
      <c r="C21" s="15">
        <v>0</v>
      </c>
      <c r="D21" s="16">
        <v>98</v>
      </c>
      <c r="E21" s="16">
        <v>0</v>
      </c>
      <c r="F21" s="15">
        <v>26</v>
      </c>
      <c r="G21" s="15">
        <v>0</v>
      </c>
      <c r="H21" s="15">
        <v>0</v>
      </c>
      <c r="I21" s="13" t="s">
        <v>1</v>
      </c>
      <c r="J21" s="13" t="s">
        <v>1</v>
      </c>
      <c r="K21" s="13" t="s">
        <v>1</v>
      </c>
      <c r="L21" s="14">
        <v>0</v>
      </c>
      <c r="M21" s="6">
        <f ca="1">(AI6+AD29+AG29+AO6+AS6+BL31+CF21-N21)</f>
        <v>6417.8608350263203</v>
      </c>
      <c r="N21" s="6">
        <f t="shared" ca="1" si="70"/>
        <v>4167.8487499999992</v>
      </c>
      <c r="O21" s="7">
        <f t="shared" ca="1" si="81"/>
        <v>10585.709585026319</v>
      </c>
      <c r="P21" s="18" t="s">
        <v>0</v>
      </c>
      <c r="Q21" s="19" t="s">
        <v>0</v>
      </c>
      <c r="R21" s="19" t="s">
        <v>0</v>
      </c>
      <c r="S21" s="69"/>
      <c r="T21" s="70"/>
      <c r="U21" s="21" t="s">
        <v>0</v>
      </c>
      <c r="V21" s="26" t="s">
        <v>0</v>
      </c>
      <c r="W21" s="71"/>
      <c r="X21" s="72"/>
      <c r="Y21" s="62"/>
      <c r="Z21" s="61"/>
      <c r="AA21" s="28" t="s">
        <v>75</v>
      </c>
      <c r="AB21" s="32">
        <v>144.24</v>
      </c>
      <c r="AC21" s="32">
        <v>183.35</v>
      </c>
      <c r="AH21" s="38" t="s">
        <v>0</v>
      </c>
      <c r="AI21" s="38" t="s">
        <v>0</v>
      </c>
      <c r="AJ21" s="34">
        <f>(AJ9+AJ10+AJ11+AJ12+AJ13+AJ14+AJ15+AJ16+AJ17+AJ18+AJ19+AJ20)</f>
        <v>365</v>
      </c>
      <c r="AK21" s="34">
        <f>(AK9+AK10+AK11+AK12+AK13+AK14+AK15+AK16+AK17+AK18+AK19+AK20)</f>
        <v>313</v>
      </c>
      <c r="AL21" s="34">
        <f>(AL9+AL10+AL11+AL12+AL13+AL14+AL15+AL16+AL17+AL18+AL19+AL20)</f>
        <v>52</v>
      </c>
      <c r="AM21" s="38" t="s">
        <v>0</v>
      </c>
      <c r="AN21" s="32">
        <f>(AN9+AN10+AN11+AN12+AN13+AN14+AN15+AN16+AN17+AN18+AN19+AN20)</f>
        <v>2338.1488823731906</v>
      </c>
      <c r="AO21" s="32">
        <f t="shared" ref="AO21:AS21" si="91">(AO9+AO10+AO11+AO12+AO13+AO14+AO15+AO16+AO17+AO18+AO19+AO20)</f>
        <v>1969.6799999999996</v>
      </c>
      <c r="AP21" s="32">
        <f t="shared" si="91"/>
        <v>2338.1488823731906</v>
      </c>
      <c r="AQ21" s="32">
        <f t="shared" si="91"/>
        <v>1969.6799999999996</v>
      </c>
      <c r="AR21" s="32">
        <f t="shared" si="91"/>
        <v>2338.1488823731906</v>
      </c>
      <c r="AS21" s="32">
        <f t="shared" si="91"/>
        <v>1969.6799999999996</v>
      </c>
      <c r="AT21" s="38" t="s">
        <v>0</v>
      </c>
      <c r="AU21" s="32">
        <f t="shared" ref="AU21:AV21" si="92">(AU20/12)</f>
        <v>5932.2588367501185</v>
      </c>
      <c r="AV21" s="32">
        <f t="shared" si="92"/>
        <v>4997.394166666666</v>
      </c>
      <c r="AW21" s="32">
        <f t="shared" ref="AW21" si="93">AW20/12</f>
        <v>0</v>
      </c>
      <c r="AX21" s="32">
        <f t="shared" ref="AX21:AY21" si="94">(AX20/12)</f>
        <v>0</v>
      </c>
      <c r="AY21" s="32">
        <f t="shared" si="94"/>
        <v>0</v>
      </c>
      <c r="AZ21" s="32">
        <f t="shared" ref="AZ21" si="95">AZ20/12</f>
        <v>0</v>
      </c>
      <c r="BA21" s="32">
        <f t="shared" ref="BA21:BB21" si="96">(BA20/12)</f>
        <v>3324.555442124381</v>
      </c>
      <c r="BB21" s="32">
        <f t="shared" si="96"/>
        <v>2800.6387500000001</v>
      </c>
      <c r="BC21" s="32">
        <f t="shared" ref="BC21" si="97">BC20/12</f>
        <v>0</v>
      </c>
      <c r="BD21" s="32">
        <f t="shared" ref="BD21:BE21" si="98">(BD20/12)</f>
        <v>0</v>
      </c>
      <c r="BE21" s="32">
        <f t="shared" si="98"/>
        <v>0</v>
      </c>
      <c r="BJ21" s="46" t="s">
        <v>9</v>
      </c>
      <c r="BK21" s="32">
        <f>(6471)</f>
        <v>6471</v>
      </c>
      <c r="BL21" s="32">
        <f>(6471)</f>
        <v>6471</v>
      </c>
      <c r="BM21" s="32">
        <f t="shared" si="74"/>
        <v>0</v>
      </c>
      <c r="BN21" s="32">
        <f t="shared" si="75"/>
        <v>0</v>
      </c>
      <c r="BO21" s="32">
        <f>(0)</f>
        <v>0</v>
      </c>
      <c r="BP21" s="32">
        <f t="shared" si="76"/>
        <v>6471</v>
      </c>
      <c r="BQ21" s="32">
        <f t="shared" si="77"/>
        <v>-905.94</v>
      </c>
      <c r="BR21" s="32">
        <f t="shared" si="78"/>
        <v>-64.710000000000008</v>
      </c>
      <c r="BS21" s="32" t="s">
        <v>0</v>
      </c>
      <c r="BT21" s="32">
        <f ca="1">(BT16)</f>
        <v>9948.2553021137974</v>
      </c>
      <c r="BU21" s="32">
        <f t="shared" ref="BU21:BU31" ca="1" si="99">(BT21*0.205)</f>
        <v>2039.3923369333284</v>
      </c>
      <c r="BV21" s="32">
        <f t="shared" ref="BV21:BV31" ca="1" si="100">(BT21*0.01)</f>
        <v>99.482553021137974</v>
      </c>
      <c r="BW21" s="32">
        <f t="shared" ref="BW21:BW31" ca="1" si="101">(BT21*0.05*-1)</f>
        <v>-497.41276510568991</v>
      </c>
      <c r="BX21" s="32">
        <f t="shared" ref="BX21:BX31" ca="1" si="102">(BT21+BU21+BV21+BW21)</f>
        <v>11589.717426962574</v>
      </c>
      <c r="BY21" s="32">
        <f ca="1">(CD2)</f>
        <v>-49.234848704830988</v>
      </c>
      <c r="BZ21" s="32">
        <f>(AY4+BJ4+AZ18)</f>
        <v>336.44</v>
      </c>
      <c r="CA21" s="32">
        <f ca="1">(BY2-BZ21)</f>
        <v>12621.364835946111</v>
      </c>
      <c r="CB21" s="32">
        <f ca="1">IF(CA21&gt;=AL3*7.5,AL3*7.5,CA21)</f>
        <v>12621.364835946111</v>
      </c>
      <c r="CD21" s="32">
        <f>(0)</f>
        <v>0</v>
      </c>
      <c r="CE21" s="32">
        <f>(0)</f>
        <v>0</v>
      </c>
      <c r="CF21" s="32">
        <f t="shared" si="82"/>
        <v>0</v>
      </c>
      <c r="CG21" s="47">
        <f t="shared" si="83"/>
        <v>0.84240999999999999</v>
      </c>
      <c r="CH21" s="47">
        <f t="shared" si="79"/>
        <v>0.84240999999999999</v>
      </c>
      <c r="CI21" s="47">
        <f t="shared" si="80"/>
        <v>0.99241000000000001</v>
      </c>
      <c r="CK21" s="45" t="s">
        <v>0</v>
      </c>
      <c r="CL21" s="45" t="s">
        <v>0</v>
      </c>
      <c r="CM21" s="31">
        <v>19</v>
      </c>
      <c r="CN21" s="36">
        <v>9.5</v>
      </c>
      <c r="CO21" s="37">
        <v>0.21</v>
      </c>
      <c r="CP21" s="54"/>
    </row>
    <row r="22" spans="1:94" ht="39.950000000000003" customHeight="1" x14ac:dyDescent="0.25">
      <c r="A22" s="4">
        <f t="shared" si="69"/>
        <v>0</v>
      </c>
      <c r="B22" s="5" t="s">
        <v>17</v>
      </c>
      <c r="C22" s="15">
        <v>0</v>
      </c>
      <c r="D22" s="16">
        <v>112</v>
      </c>
      <c r="E22" s="16">
        <v>0</v>
      </c>
      <c r="F22" s="15">
        <v>27</v>
      </c>
      <c r="G22" s="15">
        <v>0</v>
      </c>
      <c r="H22" s="15">
        <v>0</v>
      </c>
      <c r="I22" s="13" t="s">
        <v>1</v>
      </c>
      <c r="J22" s="13" t="s">
        <v>1</v>
      </c>
      <c r="K22" s="13" t="s">
        <v>1</v>
      </c>
      <c r="L22" s="14">
        <v>0</v>
      </c>
      <c r="M22" s="6">
        <f ca="1">(AI7+AD30+AG30+AO7+AS7+BL32+CF22-N22)</f>
        <v>6417.8601344914914</v>
      </c>
      <c r="N22" s="6">
        <f ca="1">(BB15+BE15+AU1+AH30)</f>
        <v>4632.9699999999993</v>
      </c>
      <c r="O22" s="7">
        <f t="shared" ca="1" si="81"/>
        <v>11050.830134491491</v>
      </c>
      <c r="P22" s="18" t="s">
        <v>0</v>
      </c>
      <c r="Q22" s="19" t="s">
        <v>0</v>
      </c>
      <c r="R22" s="19" t="s">
        <v>0</v>
      </c>
      <c r="S22" s="69"/>
      <c r="T22" s="70"/>
      <c r="U22" s="21" t="s">
        <v>0</v>
      </c>
      <c r="V22" s="26" t="s">
        <v>0</v>
      </c>
      <c r="W22" s="71"/>
      <c r="X22" s="72"/>
      <c r="Y22" s="62"/>
      <c r="Z22" s="61"/>
      <c r="AA22" s="38" t="s">
        <v>0</v>
      </c>
      <c r="AB22" s="38" t="s">
        <v>0</v>
      </c>
      <c r="AC22" s="38" t="s">
        <v>0</v>
      </c>
      <c r="AH22" s="38" t="s">
        <v>0</v>
      </c>
      <c r="AI22" s="38" t="s">
        <v>0</v>
      </c>
      <c r="AJ22" s="38" t="s">
        <v>0</v>
      </c>
      <c r="AK22" s="38" t="s">
        <v>0</v>
      </c>
      <c r="AL22" s="38" t="s">
        <v>0</v>
      </c>
      <c r="AM22" s="38" t="s">
        <v>0</v>
      </c>
      <c r="AN22" s="32">
        <f>(AN21/12)</f>
        <v>194.84574019776588</v>
      </c>
      <c r="AO22" s="32">
        <f t="shared" ref="AO22:AS22" si="103">(AO21/12)</f>
        <v>164.13999999999996</v>
      </c>
      <c r="AP22" s="32">
        <f t="shared" si="103"/>
        <v>194.84574019776588</v>
      </c>
      <c r="AQ22" s="32">
        <f t="shared" si="103"/>
        <v>164.13999999999996</v>
      </c>
      <c r="AR22" s="32">
        <f t="shared" si="103"/>
        <v>194.84574019776588</v>
      </c>
      <c r="AS22" s="32">
        <f t="shared" si="103"/>
        <v>164.13999999999996</v>
      </c>
      <c r="BJ22" s="46" t="s">
        <v>9</v>
      </c>
      <c r="BK22" s="32">
        <f>(6471)</f>
        <v>6471</v>
      </c>
      <c r="BL22" s="32">
        <f>(6471)</f>
        <v>6471</v>
      </c>
      <c r="BM22" s="32">
        <f t="shared" si="74"/>
        <v>0</v>
      </c>
      <c r="BN22" s="32">
        <f t="shared" si="75"/>
        <v>0</v>
      </c>
      <c r="BO22" s="32">
        <f>(0)</f>
        <v>0</v>
      </c>
      <c r="BP22" s="32">
        <f t="shared" si="76"/>
        <v>6471</v>
      </c>
      <c r="BQ22" s="32">
        <f t="shared" si="77"/>
        <v>-905.94</v>
      </c>
      <c r="BR22" s="32">
        <f t="shared" si="78"/>
        <v>-64.710000000000008</v>
      </c>
      <c r="BS22" s="32" t="s">
        <v>0</v>
      </c>
      <c r="BT22" s="32">
        <f ca="1">(BT17)</f>
        <v>15574.508882909045</v>
      </c>
      <c r="BU22" s="32">
        <f t="shared" ca="1" si="99"/>
        <v>3192.7743209963542</v>
      </c>
      <c r="BV22" s="32">
        <f t="shared" ca="1" si="100"/>
        <v>155.74508882909046</v>
      </c>
      <c r="BW22" s="32">
        <f t="shared" ca="1" si="101"/>
        <v>-778.72544414545234</v>
      </c>
      <c r="BX22" s="32">
        <f t="shared" ca="1" si="102"/>
        <v>18144.302848589039</v>
      </c>
      <c r="BY22" s="32">
        <f ca="1">(CD3)</f>
        <v>-97.102340431473209</v>
      </c>
      <c r="BZ22" s="32">
        <f>(AY5+BJ5+AZ19)</f>
        <v>349.38</v>
      </c>
      <c r="CA22" s="32">
        <f ca="1">(BY3-BZ22)</f>
        <v>18915.077237348247</v>
      </c>
      <c r="CB22" s="32">
        <f ca="1">IF(CA22&gt;=AL4*7.5,AL4*7.5,CA22)</f>
        <v>18915.077237348247</v>
      </c>
      <c r="CD22" s="32">
        <f>(0)</f>
        <v>0</v>
      </c>
      <c r="CE22" s="32">
        <f>(0)</f>
        <v>0</v>
      </c>
      <c r="CF22" s="32">
        <f t="shared" si="82"/>
        <v>0</v>
      </c>
      <c r="CG22" s="47">
        <f t="shared" si="83"/>
        <v>0.84240999999999999</v>
      </c>
      <c r="CH22" s="47">
        <f t="shared" si="79"/>
        <v>0.84240999999999999</v>
      </c>
      <c r="CI22" s="47">
        <f t="shared" si="80"/>
        <v>0.99241000000000001</v>
      </c>
      <c r="CK22" s="45" t="s">
        <v>0</v>
      </c>
      <c r="CL22" s="45" t="s">
        <v>0</v>
      </c>
      <c r="CM22" s="31">
        <v>20</v>
      </c>
      <c r="CN22" s="36">
        <v>10</v>
      </c>
      <c r="CO22" s="37">
        <v>0.22</v>
      </c>
      <c r="CP22" s="54"/>
    </row>
    <row r="23" spans="1:94" ht="39.950000000000003" customHeight="1" x14ac:dyDescent="0.25">
      <c r="A23" s="4">
        <f t="shared" si="69"/>
        <v>0</v>
      </c>
      <c r="B23" s="5" t="s">
        <v>18</v>
      </c>
      <c r="C23" s="15">
        <v>0</v>
      </c>
      <c r="D23" s="16">
        <v>105</v>
      </c>
      <c r="E23" s="16">
        <v>0</v>
      </c>
      <c r="F23" s="15">
        <v>26</v>
      </c>
      <c r="G23" s="15">
        <v>0</v>
      </c>
      <c r="H23" s="15">
        <v>0</v>
      </c>
      <c r="I23" s="13" t="s">
        <v>1</v>
      </c>
      <c r="J23" s="13" t="s">
        <v>1</v>
      </c>
      <c r="K23" s="13" t="s">
        <v>1</v>
      </c>
      <c r="L23" s="14">
        <v>0</v>
      </c>
      <c r="M23" s="6">
        <f ca="1">(AI8+AD31+AH1+AO8+AS8+BL33+CF23-N23)</f>
        <v>11735.010835026324</v>
      </c>
      <c r="N23" s="6">
        <f ca="1">(BB16+BE16+AU2+AI1)</f>
        <v>4376.4093749999993</v>
      </c>
      <c r="O23" s="7">
        <f t="shared" ca="1" si="81"/>
        <v>16111.420210026323</v>
      </c>
      <c r="P23" s="18" t="s">
        <v>0</v>
      </c>
      <c r="Q23" s="19" t="s">
        <v>0</v>
      </c>
      <c r="R23" s="19" t="s">
        <v>0</v>
      </c>
      <c r="S23" s="69"/>
      <c r="T23" s="70"/>
      <c r="U23" s="21" t="s">
        <v>0</v>
      </c>
      <c r="V23" s="26" t="s">
        <v>0</v>
      </c>
      <c r="W23" s="71"/>
      <c r="X23" s="72"/>
      <c r="Y23" s="62"/>
      <c r="Z23" s="61"/>
      <c r="AA23" s="38" t="s">
        <v>0</v>
      </c>
      <c r="AB23" s="38" t="s">
        <v>0</v>
      </c>
      <c r="AC23" s="38" t="s">
        <v>0</v>
      </c>
      <c r="AD23" s="32">
        <f t="shared" ref="AD23:AD34" si="104">COUNTIF(BJ15,"Var")*(AN9*0.9*-1)</f>
        <v>-154.83790553293528</v>
      </c>
      <c r="AE23" s="32">
        <f>(AD23*-1)</f>
        <v>154.83790553293528</v>
      </c>
      <c r="AG23" s="33">
        <f ca="1">(CC15*L15+AH23)*-1</f>
        <v>0</v>
      </c>
      <c r="AH23" s="33">
        <f t="shared" ref="AH23:AH29" ca="1" si="105">(BA8+BD8+BG8-BL8)*(L15*-1)</f>
        <v>0</v>
      </c>
      <c r="AI23" s="33">
        <f ca="1">(AG23+AH23)</f>
        <v>0</v>
      </c>
      <c r="AJ23" s="32" t="s">
        <v>0</v>
      </c>
      <c r="AK23" s="32">
        <f t="shared" ref="AK23:AR23" si="106">(BK15+BK16+BK17+BK18+BK19+BK20+BK21+BK22+AL1+AL2+AL3+AL4)</f>
        <v>68850</v>
      </c>
      <c r="AL23" s="32">
        <f t="shared" si="106"/>
        <v>68850</v>
      </c>
      <c r="AM23" s="32">
        <f t="shared" si="106"/>
        <v>0</v>
      </c>
      <c r="AN23" s="32">
        <f t="shared" si="106"/>
        <v>0</v>
      </c>
      <c r="AO23" s="32">
        <f t="shared" si="106"/>
        <v>0</v>
      </c>
      <c r="AP23" s="32">
        <f t="shared" si="106"/>
        <v>68850</v>
      </c>
      <c r="AQ23" s="32">
        <f t="shared" si="106"/>
        <v>-9639.0000000000036</v>
      </c>
      <c r="AR23" s="32">
        <f t="shared" si="106"/>
        <v>-688.50000000000023</v>
      </c>
      <c r="AY23" s="32">
        <f>(0)</f>
        <v>0</v>
      </c>
      <c r="AZ23" s="49">
        <f>(0%)</f>
        <v>0</v>
      </c>
      <c r="BJ23" s="46" t="s">
        <v>9</v>
      </c>
      <c r="BS23" s="32" t="s">
        <v>0</v>
      </c>
      <c r="BT23" s="32">
        <f ca="1">(BT18)</f>
        <v>11164.495321795241</v>
      </c>
      <c r="BU23" s="32">
        <f t="shared" ca="1" si="99"/>
        <v>2288.7215409680243</v>
      </c>
      <c r="BV23" s="32">
        <f t="shared" ca="1" si="100"/>
        <v>111.64495321795241</v>
      </c>
      <c r="BW23" s="32">
        <f t="shared" ca="1" si="101"/>
        <v>-558.22476608976206</v>
      </c>
      <c r="BX23" s="32">
        <f t="shared" ca="1" si="102"/>
        <v>13006.637049891455</v>
      </c>
      <c r="BY23" s="32">
        <f ca="1">(BZ15+BZ16+BZ17+BZ18+BZ19+AO5+AO6+AO7+AO8+BY20+BY21+BY22)</f>
        <v>-717.88092179914338</v>
      </c>
      <c r="BZ23" s="32">
        <f>(CA15+CA16+CA17+CA18+CA19+AP5+AP6+AP7+AP8+BZ20+BZ21+BZ22)</f>
        <v>3596.07</v>
      </c>
      <c r="CA23" s="32">
        <f ca="1">(CB15+CB16+CB17+CB18+CB19+AQ5+AQ6+AQ7+AQ8+CA20+CA21+CA22)</f>
        <v>159836.39664020334</v>
      </c>
      <c r="CB23" s="32">
        <f ca="1">(CC15+CC16+CC17+CC18+CC19+AR5+AR6+AR7+AR8+CB20+CB21+CB22)</f>
        <v>159836.39664020334</v>
      </c>
      <c r="CD23" s="32">
        <f>(0)</f>
        <v>0</v>
      </c>
      <c r="CE23" s="32">
        <f>(0)</f>
        <v>0</v>
      </c>
      <c r="CF23" s="32">
        <f t="shared" si="82"/>
        <v>0</v>
      </c>
      <c r="CG23" s="47">
        <f t="shared" si="83"/>
        <v>0.84240999999999999</v>
      </c>
      <c r="CH23" s="47">
        <f t="shared" si="79"/>
        <v>0.84240999999999999</v>
      </c>
      <c r="CI23" s="47">
        <f t="shared" si="80"/>
        <v>0.99241000000000001</v>
      </c>
      <c r="CK23" s="45" t="s">
        <v>0</v>
      </c>
      <c r="CL23" s="45" t="s">
        <v>0</v>
      </c>
      <c r="CM23" s="31">
        <v>21</v>
      </c>
      <c r="CN23" s="36">
        <v>10.5</v>
      </c>
      <c r="CO23" s="37">
        <v>0.23</v>
      </c>
      <c r="CP23" s="54"/>
    </row>
    <row r="24" spans="1:94" ht="39.950000000000003" customHeight="1" x14ac:dyDescent="0.25">
      <c r="A24" s="4">
        <f t="shared" si="69"/>
        <v>0</v>
      </c>
      <c r="B24" s="5" t="s">
        <v>19</v>
      </c>
      <c r="C24" s="15">
        <v>0</v>
      </c>
      <c r="D24" s="16">
        <v>105</v>
      </c>
      <c r="E24" s="16">
        <v>0</v>
      </c>
      <c r="F24" s="15">
        <v>26</v>
      </c>
      <c r="G24" s="15">
        <v>0</v>
      </c>
      <c r="H24" s="15">
        <v>0</v>
      </c>
      <c r="I24" s="13" t="s">
        <v>1</v>
      </c>
      <c r="J24" s="13" t="s">
        <v>1</v>
      </c>
      <c r="K24" s="13" t="s">
        <v>1</v>
      </c>
      <c r="L24" s="14">
        <v>0</v>
      </c>
      <c r="M24" s="6">
        <f ca="1">(BY1+AD32+AH2+BY20+BK34+BL34+CF24-N24)</f>
        <v>6417.8608350263203</v>
      </c>
      <c r="N24" s="6">
        <f ca="1">(BB17+BE17+AU3+AI2)</f>
        <v>4376.4093749999993</v>
      </c>
      <c r="O24" s="7">
        <f t="shared" ca="1" si="81"/>
        <v>10794.27021002632</v>
      </c>
      <c r="P24" s="18" t="s">
        <v>0</v>
      </c>
      <c r="Q24" s="19" t="s">
        <v>0</v>
      </c>
      <c r="R24" s="19" t="s">
        <v>0</v>
      </c>
      <c r="S24" s="69"/>
      <c r="T24" s="70"/>
      <c r="U24" s="21" t="s">
        <v>0</v>
      </c>
      <c r="V24" s="26" t="s">
        <v>0</v>
      </c>
      <c r="W24" s="71"/>
      <c r="X24" s="72"/>
      <c r="Y24" s="62"/>
      <c r="Z24" s="61"/>
      <c r="AA24" s="38" t="s">
        <v>0</v>
      </c>
      <c r="AB24" s="38" t="s">
        <v>0</v>
      </c>
      <c r="AC24" s="38" t="s">
        <v>0</v>
      </c>
      <c r="AD24" s="32">
        <f t="shared" si="104"/>
        <v>-154.83790553293528</v>
      </c>
      <c r="AE24" s="32">
        <f t="shared" ref="AE24:AE34" si="107">(AD24*-1)</f>
        <v>154.83790553293528</v>
      </c>
      <c r="AG24" s="33">
        <f ca="1">(CC16*L16+AH24)*-1</f>
        <v>0</v>
      </c>
      <c r="AH24" s="33">
        <f t="shared" ca="1" si="105"/>
        <v>0</v>
      </c>
      <c r="AI24" s="33">
        <f t="shared" ref="AI24:AI30" ca="1" si="108">(AG24+AH24)</f>
        <v>0</v>
      </c>
      <c r="AJ24" s="32" t="s">
        <v>0</v>
      </c>
      <c r="AK24" s="32">
        <f t="shared" ref="AK24" si="109">(AK23/12)</f>
        <v>5737.5</v>
      </c>
      <c r="AL24" s="32">
        <f t="shared" ref="AL24" si="110">(AL23/12)</f>
        <v>5737.5</v>
      </c>
      <c r="AM24" s="32">
        <f t="shared" ref="AM24" si="111">(AM23/12)</f>
        <v>0</v>
      </c>
      <c r="AN24" s="32">
        <f t="shared" ref="AN24" si="112">(AN23/12)</f>
        <v>0</v>
      </c>
      <c r="AO24" s="32">
        <f t="shared" ref="AO24" si="113">(AO23/12)</f>
        <v>0</v>
      </c>
      <c r="AP24" s="32">
        <f t="shared" ref="AP24" si="114">(AP23/12)</f>
        <v>5737.5</v>
      </c>
      <c r="AQ24" s="32">
        <f t="shared" ref="AQ24" si="115">(AQ23/12)</f>
        <v>-803.25000000000034</v>
      </c>
      <c r="AR24" s="32">
        <f t="shared" ref="AR24" si="116">(AR23/12)</f>
        <v>-57.375000000000021</v>
      </c>
      <c r="AS24" s="50">
        <v>0.15</v>
      </c>
      <c r="AT24" s="40">
        <v>0</v>
      </c>
      <c r="AU24" s="32">
        <v>32000</v>
      </c>
      <c r="AV24" s="32">
        <v>0</v>
      </c>
      <c r="AW24" s="32">
        <f>(0)</f>
        <v>0</v>
      </c>
      <c r="AX24" s="32">
        <f t="shared" ref="AX24:AX31" si="117">(BK15+BQ15+BR15-AW24)</f>
        <v>4253.3999999999996</v>
      </c>
      <c r="AY24" s="32">
        <f>SUM(AX$24:$AX24)</f>
        <v>4253.3999999999996</v>
      </c>
      <c r="AZ24" s="49">
        <f t="shared" ref="AZ24:AZ35" si="118">IF(AY24&lt;=$AU$24,$AS$24,
IF(AY24&gt;$AU$26,
IF(AY24&gt;$AU$27,$AS$28,$AS$27),
IF(AY24&lt;$AU$25,$AS$25,$AS$26)))</f>
        <v>0.15</v>
      </c>
      <c r="BA24" s="46">
        <f>IF(AZ24-AZ23=0,0,1)</f>
        <v>1</v>
      </c>
      <c r="BB24" s="47">
        <f t="shared" ref="BB24:BB35" si="119">IF(BA24=0,AZ24,(VLOOKUP($AZ24,$AS$24:$AV$28,2,0)-AY23)/AX24*AZ23+(AY24-VLOOKUP($AZ24,$AS$24:$AV$28,2,0))/AX24*AZ24)</f>
        <v>0.15</v>
      </c>
      <c r="BC24" s="32">
        <f>(ROUND(AX24*BB24,2)+VLOOKUP(AZ24,$AS$24:$AV$28,4,0))</f>
        <v>638.01</v>
      </c>
      <c r="BD24" s="47">
        <f>(100+(100*0.00759*-1)+(100*0.01*-1)+(100*0.01*-1)+(100+100*0.14*-1+100*0.01*-1)*BB24*-1)/100</f>
        <v>0.84491000000000005</v>
      </c>
      <c r="BE24" s="32">
        <f t="shared" ref="BE24:BE31" si="120">BK15</f>
        <v>5004</v>
      </c>
      <c r="BF24" s="32">
        <f t="shared" ref="BF24:BF31" si="121">BK15+BN15+BQ15+BR15</f>
        <v>4253.3999999999996</v>
      </c>
      <c r="BG24" s="32" t="s">
        <v>0</v>
      </c>
      <c r="BJ24" s="46" t="s">
        <v>9</v>
      </c>
      <c r="BO24" s="32">
        <f>(0)</f>
        <v>0</v>
      </c>
      <c r="BP24" s="49">
        <f>(0%)</f>
        <v>0</v>
      </c>
      <c r="BS24" s="32" t="s">
        <v>0</v>
      </c>
      <c r="BT24" s="32">
        <f ca="1">(BT19)</f>
        <v>10358.047897144535</v>
      </c>
      <c r="BU24" s="32">
        <f t="shared" ca="1" si="99"/>
        <v>2123.3998189146296</v>
      </c>
      <c r="BV24" s="32">
        <f t="shared" ca="1" si="100"/>
        <v>103.58047897144536</v>
      </c>
      <c r="BW24" s="32">
        <f t="shared" ca="1" si="101"/>
        <v>-517.9023948572268</v>
      </c>
      <c r="BX24" s="32">
        <f t="shared" ca="1" si="102"/>
        <v>12067.125800173384</v>
      </c>
      <c r="BY24" s="32">
        <f t="shared" ref="BY24" ca="1" si="122">(BY23/12)</f>
        <v>-59.823410149928613</v>
      </c>
      <c r="BZ24" s="32">
        <f t="shared" ref="BZ24" si="123">(BZ23/12)</f>
        <v>299.67250000000001</v>
      </c>
      <c r="CA24" s="32">
        <f t="shared" ref="CA24" ca="1" si="124">(CA23/12)</f>
        <v>13319.699720016944</v>
      </c>
      <c r="CB24" s="32">
        <f t="shared" ref="CB24" ca="1" si="125">(CB23/12)</f>
        <v>13319.699720016944</v>
      </c>
      <c r="CD24" s="32">
        <f>(0)</f>
        <v>0</v>
      </c>
      <c r="CE24" s="32">
        <f>(0)</f>
        <v>0</v>
      </c>
      <c r="CF24" s="32">
        <f t="shared" si="82"/>
        <v>0</v>
      </c>
      <c r="CG24" s="47">
        <f t="shared" si="83"/>
        <v>0.84240999999999999</v>
      </c>
      <c r="CH24" s="47">
        <f t="shared" si="79"/>
        <v>0.84240999999999999</v>
      </c>
      <c r="CI24" s="47">
        <f t="shared" si="80"/>
        <v>0.99241000000000001</v>
      </c>
      <c r="CK24" s="45" t="s">
        <v>0</v>
      </c>
      <c r="CL24" s="45" t="s">
        <v>0</v>
      </c>
      <c r="CM24" s="31">
        <v>22</v>
      </c>
      <c r="CN24" s="36">
        <v>11</v>
      </c>
      <c r="CO24" s="37">
        <v>0.24</v>
      </c>
      <c r="CP24" s="54"/>
    </row>
    <row r="25" spans="1:94" ht="39.950000000000003" customHeight="1" x14ac:dyDescent="0.25">
      <c r="A25" s="4">
        <f t="shared" si="69"/>
        <v>0</v>
      </c>
      <c r="B25" s="5" t="s">
        <v>20</v>
      </c>
      <c r="C25" s="15">
        <v>0</v>
      </c>
      <c r="D25" s="16">
        <v>112</v>
      </c>
      <c r="E25" s="16">
        <v>0</v>
      </c>
      <c r="F25" s="15">
        <v>26</v>
      </c>
      <c r="G25" s="15">
        <v>0</v>
      </c>
      <c r="H25" s="15">
        <v>0</v>
      </c>
      <c r="I25" s="13" t="s">
        <v>1</v>
      </c>
      <c r="J25" s="13" t="s">
        <v>1</v>
      </c>
      <c r="K25" s="13" t="s">
        <v>1</v>
      </c>
      <c r="L25" s="14">
        <v>0</v>
      </c>
      <c r="M25" s="6">
        <f ca="1">(BY2+AD33+AH3+BY21+BK35+BL35+CF25-N25)</f>
        <v>6234.5108350263217</v>
      </c>
      <c r="N25" s="6">
        <f ca="1">(BB18+BE18+AU4+AI3)</f>
        <v>4584.9699999999993</v>
      </c>
      <c r="O25" s="7">
        <f t="shared" ca="1" si="81"/>
        <v>10819.480835026321</v>
      </c>
      <c r="P25" s="18" t="s">
        <v>0</v>
      </c>
      <c r="Q25" s="19" t="s">
        <v>0</v>
      </c>
      <c r="R25" s="19" t="s">
        <v>0</v>
      </c>
      <c r="S25" s="69"/>
      <c r="T25" s="70"/>
      <c r="U25" s="21" t="s">
        <v>0</v>
      </c>
      <c r="V25" s="26" t="s">
        <v>0</v>
      </c>
      <c r="W25" s="71"/>
      <c r="X25" s="72"/>
      <c r="Y25" s="62"/>
      <c r="Z25" s="61"/>
      <c r="AA25" s="38" t="s">
        <v>0</v>
      </c>
      <c r="AB25" s="38" t="s">
        <v>0</v>
      </c>
      <c r="AC25" s="38" t="s">
        <v>0</v>
      </c>
      <c r="AD25" s="32">
        <f t="shared" si="104"/>
        <v>-154.83790553293528</v>
      </c>
      <c r="AE25" s="32">
        <f t="shared" si="107"/>
        <v>154.83790553293528</v>
      </c>
      <c r="AG25" s="33">
        <f ca="1">(CC17*L17+AH25)*-1</f>
        <v>0</v>
      </c>
      <c r="AH25" s="33">
        <f t="shared" ca="1" si="105"/>
        <v>0</v>
      </c>
      <c r="AI25" s="33">
        <f t="shared" ca="1" si="108"/>
        <v>0</v>
      </c>
      <c r="AJ25" s="32" t="s">
        <v>0</v>
      </c>
      <c r="AS25" s="50">
        <v>0.2</v>
      </c>
      <c r="AT25" s="32">
        <f>$AU$24</f>
        <v>32000</v>
      </c>
      <c r="AU25" s="32">
        <v>70000</v>
      </c>
      <c r="AV25" s="32">
        <f>(AU24-AT24)*AS24+AV24</f>
        <v>4800</v>
      </c>
      <c r="AW25" s="32">
        <f>(0)</f>
        <v>0</v>
      </c>
      <c r="AX25" s="32">
        <f t="shared" si="117"/>
        <v>4253.3999999999996</v>
      </c>
      <c r="AY25" s="32">
        <f>SUM(AX$24:$AX25)</f>
        <v>8506.7999999999993</v>
      </c>
      <c r="AZ25" s="49">
        <f t="shared" si="118"/>
        <v>0.15</v>
      </c>
      <c r="BA25" s="46">
        <f t="shared" ref="BA25:BA35" si="126">IF(AZ25-AZ24=0,0,1)</f>
        <v>0</v>
      </c>
      <c r="BB25" s="47">
        <f t="shared" si="119"/>
        <v>0.15</v>
      </c>
      <c r="BC25" s="32">
        <f>(ROUND(AX25*BB25,2))</f>
        <v>638.01</v>
      </c>
      <c r="BD25" s="47">
        <f t="shared" ref="BD25:BD35" si="127">(100+(100*0.00759*-1)+(100*0.01*-1)+(100*0.01*-1)+(100+100*0.14*-1+100*0.01*-1)*BB25*-1)/100</f>
        <v>0.84491000000000005</v>
      </c>
      <c r="BE25" s="32">
        <f t="shared" si="120"/>
        <v>5004</v>
      </c>
      <c r="BF25" s="32">
        <f t="shared" si="121"/>
        <v>4253.3999999999996</v>
      </c>
      <c r="BG25" s="32" t="s">
        <v>0</v>
      </c>
      <c r="BJ25" s="46" t="s">
        <v>9</v>
      </c>
      <c r="BK25" s="32">
        <f ca="1">(CC15*0.14*-1)</f>
        <v>-1357.518128602235</v>
      </c>
      <c r="BL25" s="32">
        <f ca="1">(CC15*0.01*-1)</f>
        <v>-96.965580614445358</v>
      </c>
      <c r="BM25" s="32">
        <f t="shared" ref="BM25:BM31" si="128">(BP8+BX8+AZ8+AE23)</f>
        <v>154.83790553293528</v>
      </c>
      <c r="BN25" s="32">
        <f ca="1">(BT15+BK25+BL25-BM25)</f>
        <v>8347.4964466949205</v>
      </c>
      <c r="BO25" s="32">
        <f ca="1">SUM($BN$25:BN25)</f>
        <v>8347.4964466949205</v>
      </c>
      <c r="BP25" s="49">
        <f t="shared" ref="BP25:BP36" ca="1" si="129">IF(BO25&lt;=$AU$24,$AS$24,
IF(BO25&gt;$AU$26,
IF(BO25&gt;$AU$27,$AS$28,$AS$27),
IF(BO25&lt;$AU$25,$AS$25,$AS$26)))</f>
        <v>0.15</v>
      </c>
      <c r="BQ25" s="46">
        <f ca="1">IF(BP25-BP24=0,0,1)</f>
        <v>1</v>
      </c>
      <c r="BR25" s="47">
        <f>(0)</f>
        <v>0</v>
      </c>
      <c r="BS25" s="32" t="s">
        <v>0</v>
      </c>
      <c r="BT25" s="32">
        <f ca="1">(AI5)</f>
        <v>16130.060931177846</v>
      </c>
      <c r="BU25" s="32">
        <f t="shared" ca="1" si="99"/>
        <v>3306.6624908914582</v>
      </c>
      <c r="BV25" s="32">
        <f t="shared" ca="1" si="100"/>
        <v>161.30060931177846</v>
      </c>
      <c r="BW25" s="32">
        <f t="shared" ca="1" si="101"/>
        <v>-806.50304655889238</v>
      </c>
      <c r="BX25" s="32">
        <f t="shared" ca="1" si="102"/>
        <v>18791.520984822193</v>
      </c>
      <c r="CD25" s="32">
        <f>(0)</f>
        <v>0</v>
      </c>
      <c r="CE25" s="32">
        <f>(0)</f>
        <v>0</v>
      </c>
      <c r="CF25" s="32">
        <f t="shared" si="82"/>
        <v>0</v>
      </c>
      <c r="CG25" s="47">
        <f t="shared" si="83"/>
        <v>0.84240999999999999</v>
      </c>
      <c r="CH25" s="47">
        <f t="shared" si="79"/>
        <v>0.84240999999999999</v>
      </c>
      <c r="CI25" s="47">
        <f t="shared" si="80"/>
        <v>0.99241000000000001</v>
      </c>
      <c r="CK25" s="45" t="s">
        <v>0</v>
      </c>
      <c r="CL25" s="45" t="s">
        <v>0</v>
      </c>
      <c r="CM25" s="31">
        <v>23</v>
      </c>
      <c r="CN25" s="36">
        <v>11.5</v>
      </c>
      <c r="CO25" s="37">
        <v>0.25</v>
      </c>
      <c r="CP25" s="54"/>
    </row>
    <row r="26" spans="1:94" ht="39.950000000000003" customHeight="1" x14ac:dyDescent="0.25">
      <c r="A26" s="4">
        <f t="shared" si="69"/>
        <v>0</v>
      </c>
      <c r="B26" s="5" t="s">
        <v>21</v>
      </c>
      <c r="C26" s="15">
        <v>0</v>
      </c>
      <c r="D26" s="16">
        <v>98</v>
      </c>
      <c r="E26" s="16">
        <v>0</v>
      </c>
      <c r="F26" s="15">
        <v>27</v>
      </c>
      <c r="G26" s="15">
        <v>0</v>
      </c>
      <c r="H26" s="15">
        <v>0</v>
      </c>
      <c r="I26" s="13" t="s">
        <v>1</v>
      </c>
      <c r="J26" s="13" t="s">
        <v>1</v>
      </c>
      <c r="K26" s="13" t="s">
        <v>1</v>
      </c>
      <c r="L26" s="14">
        <v>0</v>
      </c>
      <c r="M26" s="6">
        <f ca="1">(BY3+AD34+AH4+BY22+BK36+BL36+CF26-N26)</f>
        <v>11918.360134491495</v>
      </c>
      <c r="N26" s="6">
        <f ca="1">(BB19+BE19+AU5+AI4)</f>
        <v>4215.8487499999992</v>
      </c>
      <c r="O26" s="7">
        <f t="shared" ca="1" si="81"/>
        <v>16134.208884491494</v>
      </c>
      <c r="P26" s="18" t="s">
        <v>0</v>
      </c>
      <c r="Q26" s="19" t="s">
        <v>0</v>
      </c>
      <c r="R26" s="19" t="s">
        <v>0</v>
      </c>
      <c r="S26" s="69"/>
      <c r="T26" s="70"/>
      <c r="U26" s="21" t="s">
        <v>0</v>
      </c>
      <c r="V26" s="26" t="s">
        <v>0</v>
      </c>
      <c r="W26" s="71"/>
      <c r="X26" s="72"/>
      <c r="Y26" s="62"/>
      <c r="Z26" s="61"/>
      <c r="AA26" s="38" t="s">
        <v>0</v>
      </c>
      <c r="AB26" s="38" t="s">
        <v>0</v>
      </c>
      <c r="AC26" s="38" t="s">
        <v>0</v>
      </c>
      <c r="AD26" s="32">
        <f t="shared" si="104"/>
        <v>-154.83790553293528</v>
      </c>
      <c r="AE26" s="32">
        <f t="shared" si="107"/>
        <v>154.83790553293528</v>
      </c>
      <c r="AG26" s="33">
        <f ca="1">(CC18*L18+AH26)*-1</f>
        <v>0</v>
      </c>
      <c r="AH26" s="33">
        <f t="shared" ca="1" si="105"/>
        <v>0</v>
      </c>
      <c r="AI26" s="33">
        <f t="shared" ca="1" si="108"/>
        <v>0</v>
      </c>
      <c r="AJ26" s="32" t="s">
        <v>0</v>
      </c>
      <c r="AS26" s="50">
        <v>0.27</v>
      </c>
      <c r="AT26" s="32">
        <f>$AU$25</f>
        <v>70000</v>
      </c>
      <c r="AU26" s="32">
        <v>250000</v>
      </c>
      <c r="AV26" s="32">
        <f>(AU25-AT25)*AS25+AV25</f>
        <v>12400</v>
      </c>
      <c r="AW26" s="32">
        <f>(0)</f>
        <v>0</v>
      </c>
      <c r="AX26" s="32">
        <f t="shared" si="117"/>
        <v>4253.3999999999996</v>
      </c>
      <c r="AY26" s="32">
        <f>SUM(AX$24:$AX26)</f>
        <v>12760.199999999999</v>
      </c>
      <c r="AZ26" s="49">
        <f t="shared" si="118"/>
        <v>0.15</v>
      </c>
      <c r="BA26" s="46">
        <f t="shared" si="126"/>
        <v>0</v>
      </c>
      <c r="BB26" s="47">
        <f t="shared" si="119"/>
        <v>0.15</v>
      </c>
      <c r="BC26" s="32">
        <f t="shared" ref="BC26:BC35" si="130">(ROUND(AX26*BB26,2))</f>
        <v>638.01</v>
      </c>
      <c r="BD26" s="47">
        <f t="shared" si="127"/>
        <v>0.84491000000000005</v>
      </c>
      <c r="BE26" s="32">
        <f t="shared" si="120"/>
        <v>5004</v>
      </c>
      <c r="BF26" s="32">
        <f t="shared" si="121"/>
        <v>4253.3999999999996</v>
      </c>
      <c r="BG26" s="32" t="s">
        <v>0</v>
      </c>
      <c r="BJ26" s="46" t="s">
        <v>9</v>
      </c>
      <c r="BK26" s="32">
        <f ca="1">(CC16*0.14*-1)</f>
        <v>-1359.1221422959318</v>
      </c>
      <c r="BL26" s="32">
        <f ca="1">(CC16*0.01*-1)</f>
        <v>-97.080153021137974</v>
      </c>
      <c r="BM26" s="32">
        <f t="shared" si="128"/>
        <v>154.83790553293528</v>
      </c>
      <c r="BN26" s="32">
        <f ca="1">(BT16+BK26+BL26-BM26)</f>
        <v>8337.2151012637933</v>
      </c>
      <c r="BO26" s="32">
        <f ca="1">SUM($BN$25:BN26)</f>
        <v>16684.711547958716</v>
      </c>
      <c r="BP26" s="49">
        <f t="shared" ca="1" si="129"/>
        <v>0.15</v>
      </c>
      <c r="BQ26" s="46">
        <f t="shared" ref="BQ26:BQ36" ca="1" si="131">IF(BP26-BP25=0,0,1)</f>
        <v>0</v>
      </c>
      <c r="BR26" s="47">
        <f>(0)</f>
        <v>0</v>
      </c>
      <c r="BS26" s="32" t="s">
        <v>0</v>
      </c>
      <c r="BT26" s="32">
        <f ca="1">(AI6)</f>
        <v>12680.3018979468</v>
      </c>
      <c r="BU26" s="32">
        <f t="shared" ca="1" si="99"/>
        <v>2599.4618890790939</v>
      </c>
      <c r="BV26" s="32">
        <f t="shared" ca="1" si="100"/>
        <v>126.80301897946801</v>
      </c>
      <c r="BW26" s="32">
        <f t="shared" ca="1" si="101"/>
        <v>-634.01509489734008</v>
      </c>
      <c r="BX26" s="32">
        <f t="shared" ca="1" si="102"/>
        <v>14772.551711108021</v>
      </c>
      <c r="CD26" s="32">
        <f>(0)</f>
        <v>0</v>
      </c>
      <c r="CE26" s="32">
        <f>(0)</f>
        <v>0</v>
      </c>
      <c r="CF26" s="32">
        <f t="shared" si="82"/>
        <v>0</v>
      </c>
      <c r="CG26" s="47">
        <f t="shared" si="83"/>
        <v>0.84240999999999999</v>
      </c>
      <c r="CH26" s="47">
        <f t="shared" si="79"/>
        <v>0.84240999999999999</v>
      </c>
      <c r="CI26" s="47">
        <f t="shared" si="80"/>
        <v>0.99241000000000001</v>
      </c>
      <c r="CK26" s="45" t="s">
        <v>0</v>
      </c>
      <c r="CL26" s="45" t="s">
        <v>0</v>
      </c>
      <c r="CM26" s="31">
        <v>24</v>
      </c>
      <c r="CN26" s="36">
        <v>12</v>
      </c>
      <c r="CO26" s="37">
        <v>0.26</v>
      </c>
      <c r="CP26" s="54"/>
    </row>
    <row r="27" spans="1:94" ht="39.950000000000003" customHeight="1" x14ac:dyDescent="0.25">
      <c r="A27" s="57" t="s">
        <v>51</v>
      </c>
      <c r="B27" s="57"/>
      <c r="C27" s="8" t="s">
        <v>0</v>
      </c>
      <c r="D27" s="17">
        <f>(D15+D16+D17+D18+D19+D20+D21+D22+D23+D24+D25+D26)</f>
        <v>1260</v>
      </c>
      <c r="E27" s="17">
        <f>(E15+E16+E17+E18+E19+E20+E21+E22+E23+E24+E25+E26)</f>
        <v>0</v>
      </c>
      <c r="F27" s="11">
        <f>(F15+F16+F17+F18+F19+F20+F21+F22+F23+F24+F25+F26)</f>
        <v>313</v>
      </c>
      <c r="G27" s="8" t="s">
        <v>0</v>
      </c>
      <c r="H27" s="8" t="s">
        <v>0</v>
      </c>
      <c r="I27" s="8" t="s">
        <v>0</v>
      </c>
      <c r="J27" s="8" t="s">
        <v>0</v>
      </c>
      <c r="K27" s="8" t="s">
        <v>0</v>
      </c>
      <c r="L27" s="3" t="s">
        <v>0</v>
      </c>
      <c r="M27" s="9">
        <f t="shared" ref="M27" ca="1" si="132">(M15+M16+M17+M18+M19+M20+M21+M22+M23+M24+M25+M26)</f>
        <v>88653.12722823782</v>
      </c>
      <c r="N27" s="9">
        <f t="shared" ref="N27" ca="1" si="133">(N15+N16+N17+N18+N19+N20+N21+N22+N23+N24+N25+N26)</f>
        <v>47981.665000000001</v>
      </c>
      <c r="O27" s="10">
        <f t="shared" ref="O27" ca="1" si="134">(O15+O16+O17+O18+O19+O20+O21+O22+O23+O24+O25+O26)</f>
        <v>136634.79222823781</v>
      </c>
      <c r="P27" s="18" t="s">
        <v>0</v>
      </c>
      <c r="Q27" s="19" t="s">
        <v>0</v>
      </c>
      <c r="R27" s="19" t="s">
        <v>0</v>
      </c>
      <c r="S27" s="69"/>
      <c r="T27" s="70"/>
      <c r="U27" s="21" t="s">
        <v>0</v>
      </c>
      <c r="V27" s="26" t="s">
        <v>0</v>
      </c>
      <c r="W27" s="71"/>
      <c r="X27" s="72"/>
      <c r="Y27" s="62"/>
      <c r="Z27" s="61"/>
      <c r="AA27" s="38" t="s">
        <v>0</v>
      </c>
      <c r="AB27" s="38" t="s">
        <v>0</v>
      </c>
      <c r="AC27" s="38" t="s">
        <v>0</v>
      </c>
      <c r="AD27" s="32">
        <f t="shared" si="104"/>
        <v>-154.83790553293528</v>
      </c>
      <c r="AE27" s="32">
        <f t="shared" si="107"/>
        <v>154.83790553293528</v>
      </c>
      <c r="AG27" s="33">
        <f ca="1">(CC19*L19+AH27)*-1</f>
        <v>0</v>
      </c>
      <c r="AH27" s="33">
        <f t="shared" ca="1" si="105"/>
        <v>0</v>
      </c>
      <c r="AI27" s="33">
        <f t="shared" ca="1" si="108"/>
        <v>0</v>
      </c>
      <c r="AJ27" s="32" t="s">
        <v>0</v>
      </c>
      <c r="AS27" s="50">
        <v>0.35</v>
      </c>
      <c r="AT27" s="32">
        <f>$AU$26</f>
        <v>250000</v>
      </c>
      <c r="AU27" s="32">
        <v>880000</v>
      </c>
      <c r="AV27" s="32">
        <f>(AU26-AT26)*AS26+AV26</f>
        <v>61000</v>
      </c>
      <c r="AW27" s="32">
        <f>(0)</f>
        <v>0</v>
      </c>
      <c r="AX27" s="32">
        <f t="shared" si="117"/>
        <v>4253.3999999999996</v>
      </c>
      <c r="AY27" s="32">
        <f>SUM(AX$24:$AX27)</f>
        <v>17013.599999999999</v>
      </c>
      <c r="AZ27" s="49">
        <f t="shared" si="118"/>
        <v>0.15</v>
      </c>
      <c r="BA27" s="46">
        <f t="shared" si="126"/>
        <v>0</v>
      </c>
      <c r="BB27" s="47">
        <f t="shared" si="119"/>
        <v>0.15</v>
      </c>
      <c r="BC27" s="32">
        <f t="shared" si="130"/>
        <v>638.01</v>
      </c>
      <c r="BD27" s="47">
        <f t="shared" si="127"/>
        <v>0.84491000000000005</v>
      </c>
      <c r="BE27" s="32">
        <f t="shared" si="120"/>
        <v>5004</v>
      </c>
      <c r="BF27" s="32">
        <f t="shared" si="121"/>
        <v>4253.3999999999996</v>
      </c>
      <c r="BG27" s="32" t="s">
        <v>0</v>
      </c>
      <c r="BJ27" s="38" t="s">
        <v>0</v>
      </c>
      <c r="BK27" s="32">
        <f ca="1">(CC17*0.14*-1)</f>
        <v>-2142.5934436072666</v>
      </c>
      <c r="BL27" s="32">
        <f ca="1">(CC17*0.01*-1)</f>
        <v>-153.04238882909044</v>
      </c>
      <c r="BM27" s="32">
        <f t="shared" si="128"/>
        <v>154.83790553293528</v>
      </c>
      <c r="BN27" s="32">
        <f ca="1">(BT17+BK27+BL27-BM27)</f>
        <v>13124.035144939753</v>
      </c>
      <c r="BO27" s="32">
        <f ca="1">SUM($BN$25:BN27)</f>
        <v>29808.746692898469</v>
      </c>
      <c r="BP27" s="49">
        <f t="shared" ca="1" si="129"/>
        <v>0.15</v>
      </c>
      <c r="BQ27" s="46">
        <f t="shared" ca="1" si="131"/>
        <v>0</v>
      </c>
      <c r="BR27" s="47">
        <f>(0)</f>
        <v>0</v>
      </c>
      <c r="BS27" s="32" t="s">
        <v>0</v>
      </c>
      <c r="BT27" s="32">
        <f ca="1">(AI7)</f>
        <v>13230.128644382825</v>
      </c>
      <c r="BU27" s="32">
        <f t="shared" ca="1" si="99"/>
        <v>2712.1763720984791</v>
      </c>
      <c r="BV27" s="32">
        <f t="shared" ca="1" si="100"/>
        <v>132.30128644382825</v>
      </c>
      <c r="BW27" s="32">
        <f t="shared" ca="1" si="101"/>
        <v>-661.50643221914129</v>
      </c>
      <c r="BX27" s="32">
        <f t="shared" ca="1" si="102"/>
        <v>15413.09987070599</v>
      </c>
      <c r="CD27" s="32">
        <f t="shared" ref="CD27" si="135">(CD15+CD16+CD17+CD18+CD19+CD20+CD21+CD22+CD23+CD24+CD25+CD26)</f>
        <v>0</v>
      </c>
      <c r="CE27" s="32">
        <f t="shared" ref="CE27" si="136">(CE15+CE16+CE17+CE18+CE19+CE20+CE21+CE22+CE23+CE24+CE25+CE26)</f>
        <v>0</v>
      </c>
      <c r="CF27" s="32">
        <f t="shared" ref="CF27" si="137">(CF15+CF16+CF17+CF18+CF19+CF20+CF21+CF22+CF23+CF24+CF25+CF26)</f>
        <v>0</v>
      </c>
      <c r="CG27" s="31" t="s">
        <v>0</v>
      </c>
      <c r="CH27" s="31" t="s">
        <v>0</v>
      </c>
      <c r="CI27" s="31" t="s">
        <v>0</v>
      </c>
      <c r="CK27" s="45" t="s">
        <v>0</v>
      </c>
      <c r="CL27" s="45" t="s">
        <v>0</v>
      </c>
      <c r="CM27" s="31">
        <v>25</v>
      </c>
      <c r="CN27" s="36">
        <v>12.5</v>
      </c>
      <c r="CO27" s="37">
        <v>0.27</v>
      </c>
      <c r="CP27" s="54"/>
    </row>
    <row r="28" spans="1:94" ht="39.950000000000003" customHeight="1" x14ac:dyDescent="0.25">
      <c r="A28" s="57" t="s">
        <v>52</v>
      </c>
      <c r="B28" s="57"/>
      <c r="C28" s="8" t="s">
        <v>0</v>
      </c>
      <c r="D28" s="11" t="s">
        <v>0</v>
      </c>
      <c r="E28" s="8" t="s">
        <v>0</v>
      </c>
      <c r="F28" s="8" t="s">
        <v>0</v>
      </c>
      <c r="G28" s="8" t="s">
        <v>0</v>
      </c>
      <c r="H28" s="8" t="s">
        <v>0</v>
      </c>
      <c r="I28" s="8" t="s">
        <v>0</v>
      </c>
      <c r="J28" s="8" t="s">
        <v>0</v>
      </c>
      <c r="K28" s="8" t="s">
        <v>0</v>
      </c>
      <c r="L28" s="8" t="s">
        <v>0</v>
      </c>
      <c r="M28" s="9">
        <f ca="1">(M27/12)</f>
        <v>7387.7606023531516</v>
      </c>
      <c r="N28" s="9">
        <f ca="1">(N27/12)</f>
        <v>3998.4720833333336</v>
      </c>
      <c r="O28" s="10">
        <f ca="1">(O27/12)</f>
        <v>11386.232685686484</v>
      </c>
      <c r="P28" s="18" t="s">
        <v>0</v>
      </c>
      <c r="Q28" s="19" t="s">
        <v>0</v>
      </c>
      <c r="R28" s="19" t="s">
        <v>0</v>
      </c>
      <c r="S28" s="69"/>
      <c r="T28" s="70"/>
      <c r="U28" s="21" t="s">
        <v>0</v>
      </c>
      <c r="V28" s="26" t="s">
        <v>0</v>
      </c>
      <c r="W28" s="71"/>
      <c r="X28" s="66"/>
      <c r="Y28" s="67"/>
      <c r="Z28" s="68"/>
      <c r="AA28" s="38" t="s">
        <v>0</v>
      </c>
      <c r="AB28" s="38" t="s">
        <v>0</v>
      </c>
      <c r="AC28" s="38" t="s">
        <v>0</v>
      </c>
      <c r="AD28" s="32">
        <f t="shared" si="104"/>
        <v>-154.83790553293528</v>
      </c>
      <c r="AE28" s="32">
        <f t="shared" si="107"/>
        <v>154.83790553293528</v>
      </c>
      <c r="AG28" s="33">
        <f ca="1">(AR5*L20+AH28)*-1</f>
        <v>0</v>
      </c>
      <c r="AH28" s="33">
        <f t="shared" ca="1" si="105"/>
        <v>0</v>
      </c>
      <c r="AI28" s="33">
        <f t="shared" ca="1" si="108"/>
        <v>0</v>
      </c>
      <c r="AJ28" s="32" t="s">
        <v>0</v>
      </c>
      <c r="AS28" s="50">
        <v>0.4</v>
      </c>
      <c r="AT28" s="51">
        <f>$AU$27</f>
        <v>880000</v>
      </c>
      <c r="AU28" s="32">
        <v>999999999</v>
      </c>
      <c r="AV28" s="32">
        <f>(AU27-AT27)*AS27+AV27</f>
        <v>281500</v>
      </c>
      <c r="AW28" s="32">
        <f>(0)</f>
        <v>0</v>
      </c>
      <c r="AX28" s="32">
        <f t="shared" si="117"/>
        <v>4253.3999999999996</v>
      </c>
      <c r="AY28" s="32">
        <f>SUM(AX$24:$AX28)</f>
        <v>21267</v>
      </c>
      <c r="AZ28" s="49">
        <f t="shared" si="118"/>
        <v>0.15</v>
      </c>
      <c r="BA28" s="46">
        <f t="shared" si="126"/>
        <v>0</v>
      </c>
      <c r="BB28" s="47">
        <f t="shared" si="119"/>
        <v>0.15</v>
      </c>
      <c r="BC28" s="32">
        <f t="shared" si="130"/>
        <v>638.01</v>
      </c>
      <c r="BD28" s="47">
        <f t="shared" si="127"/>
        <v>0.84491000000000005</v>
      </c>
      <c r="BE28" s="32">
        <f t="shared" si="120"/>
        <v>5004</v>
      </c>
      <c r="BF28" s="32">
        <f t="shared" si="121"/>
        <v>4253.3999999999996</v>
      </c>
      <c r="BG28" s="32" t="s">
        <v>0</v>
      </c>
      <c r="BJ28" s="38" t="s">
        <v>0</v>
      </c>
      <c r="BK28" s="32">
        <f ca="1">(CC18*0.14*-1)</f>
        <v>-1526.5929450513338</v>
      </c>
      <c r="BL28" s="32">
        <f ca="1">(CC18*0.01*-1)</f>
        <v>-109.04235321795241</v>
      </c>
      <c r="BM28" s="32">
        <f t="shared" si="128"/>
        <v>154.83790553293528</v>
      </c>
      <c r="BN28" s="32">
        <f ca="1">(BT18+BK28+BL28-BM28)</f>
        <v>9374.0221179930195</v>
      </c>
      <c r="BO28" s="32">
        <f ca="1">SUM($BN$25:BN28)</f>
        <v>39182.768810891488</v>
      </c>
      <c r="BP28" s="49">
        <f t="shared" ca="1" si="129"/>
        <v>0.2</v>
      </c>
      <c r="BQ28" s="46">
        <f t="shared" ca="1" si="131"/>
        <v>1</v>
      </c>
      <c r="BR28" s="47">
        <f>(0)</f>
        <v>0</v>
      </c>
      <c r="BS28" s="32" t="s">
        <v>0</v>
      </c>
      <c r="BT28" s="32">
        <f ca="1">(AI8)</f>
        <v>19239.70957947955</v>
      </c>
      <c r="BU28" s="32">
        <f t="shared" ca="1" si="99"/>
        <v>3944.1404637933074</v>
      </c>
      <c r="BV28" s="32">
        <f t="shared" ca="1" si="100"/>
        <v>192.39709579479549</v>
      </c>
      <c r="BW28" s="32">
        <f t="shared" ca="1" si="101"/>
        <v>-961.98547897397748</v>
      </c>
      <c r="BX28" s="32">
        <f t="shared" ca="1" si="102"/>
        <v>22414.261660093678</v>
      </c>
      <c r="CD28" s="32">
        <f t="shared" ref="CD28" si="138">(CD27/12)</f>
        <v>0</v>
      </c>
      <c r="CE28" s="32">
        <f t="shared" ref="CE28" si="139">(CE27/12)</f>
        <v>0</v>
      </c>
      <c r="CF28" s="32">
        <f t="shared" ref="CF28" si="140">(CF27/12)</f>
        <v>0</v>
      </c>
      <c r="CG28" s="38" t="s">
        <v>0</v>
      </c>
      <c r="CH28" s="38" t="s">
        <v>0</v>
      </c>
      <c r="CI28" s="38" t="s">
        <v>0</v>
      </c>
      <c r="CK28" s="45" t="s">
        <v>0</v>
      </c>
      <c r="CL28" s="45" t="s">
        <v>0</v>
      </c>
      <c r="CM28" s="31">
        <v>26</v>
      </c>
      <c r="CN28" s="36">
        <v>13</v>
      </c>
      <c r="CO28" s="37">
        <v>0.28000000000000003</v>
      </c>
      <c r="CP28" s="55"/>
    </row>
    <row r="29" spans="1:94" ht="39.950000000000003" hidden="1" customHeight="1" x14ac:dyDescent="0.25">
      <c r="AD29" s="32">
        <f t="shared" si="104"/>
        <v>-195.88442682304341</v>
      </c>
      <c r="AE29" s="32">
        <f t="shared" si="107"/>
        <v>195.88442682304341</v>
      </c>
      <c r="AG29" s="33">
        <f ca="1">(AR6*L21+AH29)*-1</f>
        <v>0</v>
      </c>
      <c r="AH29" s="33">
        <f t="shared" ca="1" si="105"/>
        <v>0</v>
      </c>
      <c r="AI29" s="33">
        <f t="shared" ca="1" si="108"/>
        <v>0</v>
      </c>
      <c r="AJ29" s="32" t="s">
        <v>0</v>
      </c>
      <c r="AS29" s="32" t="s">
        <v>0</v>
      </c>
      <c r="AT29" s="32" t="s">
        <v>0</v>
      </c>
      <c r="AU29" s="32" t="s">
        <v>0</v>
      </c>
      <c r="AV29" s="32" t="s">
        <v>0</v>
      </c>
      <c r="AW29" s="32">
        <f>(0)</f>
        <v>0</v>
      </c>
      <c r="AX29" s="32">
        <f t="shared" si="117"/>
        <v>4253.3999999999996</v>
      </c>
      <c r="AY29" s="32">
        <f>SUM(AX$24:$AX29)</f>
        <v>25520.400000000001</v>
      </c>
      <c r="AZ29" s="49">
        <f t="shared" si="118"/>
        <v>0.15</v>
      </c>
      <c r="BA29" s="46">
        <f t="shared" si="126"/>
        <v>0</v>
      </c>
      <c r="BB29" s="47">
        <f t="shared" si="119"/>
        <v>0.15</v>
      </c>
      <c r="BC29" s="32">
        <f t="shared" si="130"/>
        <v>638.01</v>
      </c>
      <c r="BD29" s="47">
        <f t="shared" si="127"/>
        <v>0.84491000000000005</v>
      </c>
      <c r="BE29" s="32">
        <f t="shared" si="120"/>
        <v>5004</v>
      </c>
      <c r="BF29" s="32">
        <f t="shared" si="121"/>
        <v>4253.3999999999996</v>
      </c>
      <c r="BG29" s="32" t="s">
        <v>0</v>
      </c>
      <c r="BK29" s="32">
        <f ca="1">(CC19*0.14*-1)</f>
        <v>-1413.690305600235</v>
      </c>
      <c r="BL29" s="32">
        <f ca="1">(CC19*0.01*-1)</f>
        <v>-100.97787897144535</v>
      </c>
      <c r="BM29" s="32">
        <f t="shared" si="128"/>
        <v>154.83790553293528</v>
      </c>
      <c r="BN29" s="32">
        <f ca="1">(BT19+BK29+BL29-BM29)</f>
        <v>8688.5418070399191</v>
      </c>
      <c r="BO29" s="32">
        <f ca="1">SUM($BN$25:BN29)</f>
        <v>47871.310617931405</v>
      </c>
      <c r="BP29" s="49">
        <f t="shared" ca="1" si="129"/>
        <v>0.2</v>
      </c>
      <c r="BQ29" s="46">
        <f t="shared" ca="1" si="131"/>
        <v>0</v>
      </c>
      <c r="BR29" s="47">
        <f>(0)</f>
        <v>0</v>
      </c>
      <c r="BS29" s="32" t="s">
        <v>0</v>
      </c>
      <c r="BT29" s="32">
        <f ca="1">(BY1)</f>
        <v>12927.878048514813</v>
      </c>
      <c r="BU29" s="32">
        <f t="shared" ca="1" si="99"/>
        <v>2650.2149999455364</v>
      </c>
      <c r="BV29" s="32">
        <f t="shared" ca="1" si="100"/>
        <v>129.27878048514813</v>
      </c>
      <c r="BW29" s="32">
        <f t="shared" ca="1" si="101"/>
        <v>-646.39390242574063</v>
      </c>
      <c r="BX29" s="32">
        <f t="shared" ca="1" si="102"/>
        <v>15060.977926519758</v>
      </c>
      <c r="CK29" s="28"/>
      <c r="CL29" s="28"/>
      <c r="CM29" s="31">
        <v>27</v>
      </c>
      <c r="CN29" s="36">
        <v>13.5</v>
      </c>
      <c r="CO29" s="37">
        <v>0.28999999999999998</v>
      </c>
    </row>
    <row r="30" spans="1:94" ht="39.950000000000003" hidden="1" customHeight="1" x14ac:dyDescent="0.25">
      <c r="AD30" s="32">
        <f t="shared" si="104"/>
        <v>-195.88442682304341</v>
      </c>
      <c r="AE30" s="32">
        <f t="shared" si="107"/>
        <v>195.88442682304341</v>
      </c>
      <c r="AG30" s="33">
        <f ca="1">(AR7*L22+AH30)*-1</f>
        <v>0</v>
      </c>
      <c r="AH30" s="33">
        <f ca="1">(BA15+BD15+AT1-AY1)*(L22*-1)</f>
        <v>0</v>
      </c>
      <c r="AI30" s="33">
        <f t="shared" ca="1" si="108"/>
        <v>0</v>
      </c>
      <c r="AJ30" s="32" t="s">
        <v>0</v>
      </c>
      <c r="AS30" s="32" t="s">
        <v>0</v>
      </c>
      <c r="AT30" s="32" t="s">
        <v>0</v>
      </c>
      <c r="AU30" s="32" t="s">
        <v>0</v>
      </c>
      <c r="AV30" s="32" t="s">
        <v>0</v>
      </c>
      <c r="AW30" s="32">
        <f>(0)</f>
        <v>0</v>
      </c>
      <c r="AX30" s="32">
        <f t="shared" si="117"/>
        <v>5500.3499999999995</v>
      </c>
      <c r="AY30" s="32">
        <f>SUM(AX$24:$AX30)</f>
        <v>31020.75</v>
      </c>
      <c r="AZ30" s="49">
        <f t="shared" si="118"/>
        <v>0.15</v>
      </c>
      <c r="BA30" s="46">
        <f t="shared" si="126"/>
        <v>0</v>
      </c>
      <c r="BB30" s="47">
        <f t="shared" si="119"/>
        <v>0.15</v>
      </c>
      <c r="BC30" s="32">
        <f t="shared" si="130"/>
        <v>825.05</v>
      </c>
      <c r="BD30" s="47">
        <f t="shared" si="127"/>
        <v>0.84491000000000005</v>
      </c>
      <c r="BE30" s="32">
        <f t="shared" si="120"/>
        <v>6471</v>
      </c>
      <c r="BF30" s="32">
        <f t="shared" si="121"/>
        <v>5500.3499999999995</v>
      </c>
      <c r="BG30" s="32" t="s">
        <v>0</v>
      </c>
      <c r="BL30" s="32">
        <f ca="1">(AR5*0.01*-1)</f>
        <v>-158.69800931177846</v>
      </c>
      <c r="BM30" s="32">
        <f t="shared" si="128"/>
        <v>154.83790553293528</v>
      </c>
      <c r="BN30" s="32">
        <f ca="1">(AI5+AS5+BL30-BM30)</f>
        <v>13594.752885968235</v>
      </c>
      <c r="BO30" s="32">
        <f ca="1">SUM($BN$25:BN30)</f>
        <v>61466.063503899641</v>
      </c>
      <c r="BP30" s="49">
        <f t="shared" ca="1" si="129"/>
        <v>0.2</v>
      </c>
      <c r="BQ30" s="46">
        <f t="shared" ca="1" si="131"/>
        <v>0</v>
      </c>
      <c r="BR30" s="47">
        <f>(0)</f>
        <v>0</v>
      </c>
      <c r="BS30" s="32" t="s">
        <v>0</v>
      </c>
      <c r="BT30" s="32">
        <f ca="1">(BY2)</f>
        <v>12957.804835946112</v>
      </c>
      <c r="BU30" s="32">
        <f t="shared" ca="1" si="99"/>
        <v>2656.3499913689529</v>
      </c>
      <c r="BV30" s="32">
        <f t="shared" ca="1" si="100"/>
        <v>129.57804835946112</v>
      </c>
      <c r="BW30" s="32">
        <f t="shared" ca="1" si="101"/>
        <v>-647.89024179730563</v>
      </c>
      <c r="BX30" s="32">
        <f t="shared" ca="1" si="102"/>
        <v>15095.842633877221</v>
      </c>
      <c r="CK30" s="28"/>
      <c r="CL30" s="28"/>
      <c r="CM30" s="31">
        <v>28</v>
      </c>
      <c r="CN30" s="36">
        <v>14</v>
      </c>
      <c r="CO30" s="37">
        <v>0.3</v>
      </c>
    </row>
    <row r="31" spans="1:94" ht="39.950000000000003" hidden="1" customHeight="1" x14ac:dyDescent="0.25">
      <c r="AD31" s="32">
        <f t="shared" si="104"/>
        <v>-195.88442682304341</v>
      </c>
      <c r="AE31" s="32">
        <f t="shared" si="107"/>
        <v>195.88442682304341</v>
      </c>
      <c r="AS31" s="32" t="s">
        <v>0</v>
      </c>
      <c r="AT31" s="32" t="s">
        <v>0</v>
      </c>
      <c r="AU31" s="32" t="s">
        <v>0</v>
      </c>
      <c r="AV31" s="32" t="s">
        <v>0</v>
      </c>
      <c r="AW31" s="32">
        <f>(0)</f>
        <v>0</v>
      </c>
      <c r="AX31" s="32">
        <f t="shared" si="117"/>
        <v>5500.3499999999995</v>
      </c>
      <c r="AY31" s="32">
        <f>SUM(AX$24:$AX31)</f>
        <v>36521.1</v>
      </c>
      <c r="AZ31" s="49">
        <f t="shared" si="118"/>
        <v>0.2</v>
      </c>
      <c r="BA31" s="46">
        <f t="shared" si="126"/>
        <v>1</v>
      </c>
      <c r="BB31" s="47">
        <f t="shared" si="119"/>
        <v>0.19109829374494347</v>
      </c>
      <c r="BC31" s="32">
        <f t="shared" si="130"/>
        <v>1051.1099999999999</v>
      </c>
      <c r="BD31" s="47">
        <f t="shared" si="127"/>
        <v>0.8099764503167981</v>
      </c>
      <c r="BE31" s="32">
        <f t="shared" si="120"/>
        <v>6471</v>
      </c>
      <c r="BF31" s="32">
        <f t="shared" si="121"/>
        <v>5500.3499999999995</v>
      </c>
      <c r="BG31" s="32" t="s">
        <v>0</v>
      </c>
      <c r="BL31" s="32">
        <f ca="1">(AR6*0.01*-1)</f>
        <v>-123.43861897946799</v>
      </c>
      <c r="BM31" s="32">
        <f t="shared" si="128"/>
        <v>195.88442682304341</v>
      </c>
      <c r="BN31" s="32">
        <f ca="1">(AI6+AS6+BL31-BM31)</f>
        <v>10632.838186431736</v>
      </c>
      <c r="BO31" s="32">
        <f ca="1">SUM($BN$25:BN31)</f>
        <v>72098.901690331375</v>
      </c>
      <c r="BP31" s="49">
        <f t="shared" ca="1" si="129"/>
        <v>0.27</v>
      </c>
      <c r="BQ31" s="46">
        <f t="shared" ca="1" si="131"/>
        <v>1</v>
      </c>
      <c r="BR31" s="47">
        <f>(0)</f>
        <v>0</v>
      </c>
      <c r="BS31" s="32" t="s">
        <v>0</v>
      </c>
      <c r="BT31" s="32">
        <f ca="1">(BY3)</f>
        <v>19264.457237348248</v>
      </c>
      <c r="BU31" s="32">
        <f t="shared" ca="1" si="99"/>
        <v>3949.2137336563906</v>
      </c>
      <c r="BV31" s="32">
        <f t="shared" ca="1" si="100"/>
        <v>192.64457237348248</v>
      </c>
      <c r="BW31" s="32">
        <f t="shared" ca="1" si="101"/>
        <v>-963.22286186741246</v>
      </c>
      <c r="BX31" s="32">
        <f t="shared" ca="1" si="102"/>
        <v>22443.092681510709</v>
      </c>
      <c r="CM31" s="31">
        <v>29</v>
      </c>
      <c r="CN31" s="36">
        <v>14.5</v>
      </c>
      <c r="CO31" s="37">
        <v>0.31</v>
      </c>
    </row>
    <row r="32" spans="1:94" ht="39.950000000000003" hidden="1" customHeight="1" x14ac:dyDescent="0.25">
      <c r="AD32" s="32">
        <f t="shared" si="104"/>
        <v>-195.88442682304341</v>
      </c>
      <c r="AE32" s="32">
        <f t="shared" si="107"/>
        <v>195.88442682304341</v>
      </c>
      <c r="AS32" s="32" t="s">
        <v>0</v>
      </c>
      <c r="AT32" s="32" t="s">
        <v>0</v>
      </c>
      <c r="AU32" s="32" t="s">
        <v>0</v>
      </c>
      <c r="AV32" s="32" t="s">
        <v>0</v>
      </c>
      <c r="AW32" s="32">
        <f>(0)</f>
        <v>0</v>
      </c>
      <c r="AX32" s="32">
        <f>(AL1+AR1+AS1-AW32)</f>
        <v>5500.3499999999995</v>
      </c>
      <c r="AY32" s="32">
        <f>SUM(AX$24:$AX32)</f>
        <v>42021.45</v>
      </c>
      <c r="AZ32" s="49">
        <f t="shared" si="118"/>
        <v>0.2</v>
      </c>
      <c r="BA32" s="46">
        <f t="shared" si="126"/>
        <v>0</v>
      </c>
      <c r="BB32" s="47">
        <f t="shared" si="119"/>
        <v>0.2</v>
      </c>
      <c r="BC32" s="32">
        <f t="shared" si="130"/>
        <v>1100.07</v>
      </c>
      <c r="BD32" s="47">
        <f t="shared" si="127"/>
        <v>0.80240999999999996</v>
      </c>
      <c r="BE32" s="32">
        <f>AL1</f>
        <v>6471</v>
      </c>
      <c r="BF32" s="32">
        <f>AL1+AO1+AR1+AS1</f>
        <v>5500.3499999999995</v>
      </c>
      <c r="BG32" s="32" t="s">
        <v>0</v>
      </c>
      <c r="BL32" s="32">
        <f ca="1">(AR7*0.01*-1)</f>
        <v>-128.80748644382825</v>
      </c>
      <c r="BM32" s="32">
        <f>(BC1+BK1+AZ15+AE30)</f>
        <v>195.88442682304341</v>
      </c>
      <c r="BN32" s="32">
        <f ca="1">(AI7+AS7+BL32-BM32)</f>
        <v>11102.131920902357</v>
      </c>
      <c r="BO32" s="32">
        <f ca="1">SUM($BN$25:BN32)</f>
        <v>83201.033611233725</v>
      </c>
      <c r="BP32" s="49">
        <f t="shared" ca="1" si="129"/>
        <v>0.27</v>
      </c>
      <c r="BQ32" s="46">
        <f t="shared" ca="1" si="131"/>
        <v>0</v>
      </c>
      <c r="BR32" s="47">
        <f>(0)</f>
        <v>0</v>
      </c>
      <c r="BS32" s="33" t="s">
        <v>0</v>
      </c>
      <c r="BT32" s="32">
        <f t="shared" ref="BT32" ca="1" si="141">(BT20+BT21+BT22+BT23+BT24+BT25+BT26+BT27+BT28+BT29+BT30+BT31)</f>
        <v>163432.46664020335</v>
      </c>
      <c r="BU32" s="32">
        <f t="shared" ref="BU32" ca="1" si="142">(BU20+BU21+BU22+BU23+BU24+BU25+BU26+BU27+BU28+BU29+BU30+BU31)</f>
        <v>33503.655661241683</v>
      </c>
      <c r="BV32" s="32">
        <f t="shared" ref="BV32" ca="1" si="143">(BV20+BV21+BV22+BV23+BV24+BV25+BV26+BV27+BV28+BV29+BV30+BV31)</f>
        <v>1634.3246664020335</v>
      </c>
      <c r="BW32" s="32">
        <f t="shared" ref="BW32" ca="1" si="144">(BW20+BW21+BW22+BW23+BW24+BW25+BW26+BW27+BW28+BW29+BW30+BW31)</f>
        <v>-8171.6233320101674</v>
      </c>
      <c r="BX32" s="32">
        <f t="shared" ref="BX32" ca="1" si="145">(BX20+BX21+BX22+BX23+BX24+BX25+BX26+BX27+BX28+BX29+BX30+BX31)</f>
        <v>190398.82363583689</v>
      </c>
      <c r="CM32" s="31">
        <v>30</v>
      </c>
      <c r="CN32" s="36">
        <v>15</v>
      </c>
      <c r="CO32" s="37">
        <v>0.32</v>
      </c>
    </row>
    <row r="33" spans="30:93" ht="39.950000000000003" hidden="1" customHeight="1" x14ac:dyDescent="0.25">
      <c r="AD33" s="32">
        <f t="shared" si="104"/>
        <v>-195.88442682304341</v>
      </c>
      <c r="AE33" s="32">
        <f t="shared" si="107"/>
        <v>195.88442682304341</v>
      </c>
      <c r="AS33" s="32" t="s">
        <v>0</v>
      </c>
      <c r="AT33" s="32" t="s">
        <v>0</v>
      </c>
      <c r="AU33" s="32" t="s">
        <v>0</v>
      </c>
      <c r="AV33" s="32" t="s">
        <v>0</v>
      </c>
      <c r="AW33" s="32">
        <f>(0)</f>
        <v>0</v>
      </c>
      <c r="AX33" s="32">
        <f>(AL2+AR2+AS2-AW33)</f>
        <v>5500.3499999999995</v>
      </c>
      <c r="AY33" s="32">
        <f>SUM(AX$24:$AX33)</f>
        <v>47521.799999999996</v>
      </c>
      <c r="AZ33" s="49">
        <f t="shared" si="118"/>
        <v>0.2</v>
      </c>
      <c r="BA33" s="46">
        <f t="shared" si="126"/>
        <v>0</v>
      </c>
      <c r="BB33" s="47">
        <f t="shared" si="119"/>
        <v>0.2</v>
      </c>
      <c r="BC33" s="32">
        <f t="shared" si="130"/>
        <v>1100.07</v>
      </c>
      <c r="BD33" s="47">
        <f t="shared" si="127"/>
        <v>0.80240999999999996</v>
      </c>
      <c r="BE33" s="32">
        <f>AL2</f>
        <v>6471</v>
      </c>
      <c r="BF33" s="32">
        <f>AL2+AO2+AR2+AS2</f>
        <v>5500.3499999999995</v>
      </c>
      <c r="BG33" s="32" t="s">
        <v>0</v>
      </c>
      <c r="BL33" s="32">
        <f ca="1">(AR8*0.01*-1)</f>
        <v>-189.0326957947955</v>
      </c>
      <c r="BM33" s="32">
        <f>(BC2+BK2+AZ16+AE31)</f>
        <v>195.88442682304341</v>
      </c>
      <c r="BN33" s="32">
        <f ca="1">(AI8+AS8+BL33-BM33)</f>
        <v>16208.334715734572</v>
      </c>
      <c r="BO33" s="32">
        <f ca="1">SUM($BN$25:BN33)</f>
        <v>99409.368326968295</v>
      </c>
      <c r="BP33" s="49">
        <f t="shared" ca="1" si="129"/>
        <v>0.27</v>
      </c>
      <c r="BQ33" s="46">
        <f t="shared" ca="1" si="131"/>
        <v>0</v>
      </c>
      <c r="BR33" s="47">
        <f>(0)</f>
        <v>0</v>
      </c>
      <c r="BS33" s="32" t="s">
        <v>0</v>
      </c>
      <c r="BT33" s="32">
        <f t="shared" ref="BT33" ca="1" si="146">(BT32/12)</f>
        <v>13619.372220016945</v>
      </c>
      <c r="BU33" s="32">
        <f t="shared" ref="BU33" ca="1" si="147">(BU32/12)</f>
        <v>2791.9713051034737</v>
      </c>
      <c r="BV33" s="32">
        <f t="shared" ref="BV33" ca="1" si="148">(BV32/12)</f>
        <v>136.19372220016945</v>
      </c>
      <c r="BW33" s="32">
        <f t="shared" ref="BW33" ca="1" si="149">(BW32/12)</f>
        <v>-680.96861100084732</v>
      </c>
      <c r="BX33" s="32">
        <f t="shared" ref="BX33" ca="1" si="150">(BX32/12)</f>
        <v>15866.56863631974</v>
      </c>
      <c r="CM33" s="31">
        <v>31</v>
      </c>
      <c r="CN33" s="36">
        <v>15.5</v>
      </c>
      <c r="CO33" s="37">
        <v>0.33</v>
      </c>
    </row>
    <row r="34" spans="30:93" ht="39.950000000000003" hidden="1" customHeight="1" x14ac:dyDescent="0.25">
      <c r="AD34" s="32">
        <f t="shared" si="104"/>
        <v>-195.88442682304341</v>
      </c>
      <c r="AE34" s="32">
        <f t="shared" si="107"/>
        <v>195.88442682304341</v>
      </c>
      <c r="AS34" s="32" t="s">
        <v>0</v>
      </c>
      <c r="AT34" s="32" t="s">
        <v>0</v>
      </c>
      <c r="AU34" s="32" t="s">
        <v>0</v>
      </c>
      <c r="AV34" s="32" t="s">
        <v>0</v>
      </c>
      <c r="AW34" s="32">
        <f>(0)</f>
        <v>0</v>
      </c>
      <c r="AX34" s="32">
        <f>(AL3+AR3+AS3-AW34)</f>
        <v>5500.3499999999995</v>
      </c>
      <c r="AY34" s="32">
        <f>SUM(AX$24:$AX34)</f>
        <v>53022.149999999994</v>
      </c>
      <c r="AZ34" s="49">
        <f t="shared" si="118"/>
        <v>0.2</v>
      </c>
      <c r="BA34" s="46">
        <f t="shared" si="126"/>
        <v>0</v>
      </c>
      <c r="BB34" s="47">
        <f t="shared" si="119"/>
        <v>0.2</v>
      </c>
      <c r="BC34" s="32">
        <f t="shared" si="130"/>
        <v>1100.07</v>
      </c>
      <c r="BD34" s="47">
        <f t="shared" si="127"/>
        <v>0.80240999999999996</v>
      </c>
      <c r="BE34" s="32">
        <f>AL3</f>
        <v>6471</v>
      </c>
      <c r="BF34" s="32">
        <f>AL3+AO3+AR3+AS3</f>
        <v>5500.3499999999995</v>
      </c>
      <c r="BG34" s="32" t="s">
        <v>0</v>
      </c>
      <c r="BK34" s="32">
        <f ca="1">(CB20*0.14*-1)</f>
        <v>-1762.801326792074</v>
      </c>
      <c r="BL34" s="32">
        <f ca="1">(CB20*0.01*-1)</f>
        <v>-125.91438048514813</v>
      </c>
      <c r="BM34" s="32">
        <f>(BC3+BK3+AZ17+AE32)</f>
        <v>195.88442682304341</v>
      </c>
      <c r="BN34" s="32">
        <f ca="1">(BY1+BK34+BL34-BM34)</f>
        <v>10843.277914414546</v>
      </c>
      <c r="BO34" s="32">
        <f ca="1">SUM($BN$25:BN34)</f>
        <v>110252.64624138284</v>
      </c>
      <c r="BP34" s="49">
        <f t="shared" ca="1" si="129"/>
        <v>0.27</v>
      </c>
      <c r="BQ34" s="46">
        <f t="shared" ca="1" si="131"/>
        <v>0</v>
      </c>
      <c r="BR34" s="47">
        <f>(0)</f>
        <v>0</v>
      </c>
      <c r="CM34" s="31">
        <v>32</v>
      </c>
      <c r="CN34" s="36">
        <v>16</v>
      </c>
      <c r="CO34" s="37">
        <v>0.34</v>
      </c>
    </row>
    <row r="35" spans="30:93" ht="39.950000000000003" hidden="1" customHeight="1" x14ac:dyDescent="0.25">
      <c r="AD35" s="32">
        <f t="shared" ref="AD35:AE35" si="151">(AD23+AD24+AD25+AD26+AD27+AD28+AD29+AD30+AD31+AD32+AD33+AD34)</f>
        <v>-2104.3339941358722</v>
      </c>
      <c r="AE35" s="32">
        <f t="shared" si="151"/>
        <v>2104.3339941358722</v>
      </c>
      <c r="AG35" s="32">
        <f ca="1">(AG23+AG24+AG25+AG26+AG27+AG28+AG29+AG30+AH1+AH2+AH3+AH4)</f>
        <v>0</v>
      </c>
      <c r="AH35" s="32">
        <f ca="1">(AH23+AH24+AH25+AH26+AH27+AH28+AH29+AH30+AI1+AI2+AI3+AI4)</f>
        <v>0</v>
      </c>
      <c r="AI35" s="32">
        <f ca="1">(AI23+AI24+AI25+AI26+AI27+AI28+AI29+AI30+AJ1+AJ2+AJ3+AJ4)</f>
        <v>0</v>
      </c>
      <c r="AJ35" s="33" t="s">
        <v>0</v>
      </c>
      <c r="AS35" s="32" t="s">
        <v>0</v>
      </c>
      <c r="AT35" s="32" t="s">
        <v>0</v>
      </c>
      <c r="AU35" s="32" t="s">
        <v>0</v>
      </c>
      <c r="AV35" s="32" t="s">
        <v>0</v>
      </c>
      <c r="AW35" s="32">
        <f>(0)</f>
        <v>0</v>
      </c>
      <c r="AX35" s="32">
        <f>(AL4+AR4+AS4-AW35)</f>
        <v>5500.3499999999995</v>
      </c>
      <c r="AY35" s="32">
        <f>SUM(AX$24:$AX35)</f>
        <v>58522.499999999993</v>
      </c>
      <c r="AZ35" s="49">
        <f t="shared" si="118"/>
        <v>0.2</v>
      </c>
      <c r="BA35" s="46">
        <f t="shared" si="126"/>
        <v>0</v>
      </c>
      <c r="BB35" s="47">
        <f t="shared" si="119"/>
        <v>0.2</v>
      </c>
      <c r="BC35" s="32">
        <f t="shared" si="130"/>
        <v>1100.07</v>
      </c>
      <c r="BD35" s="47">
        <f t="shared" si="127"/>
        <v>0.80240999999999996</v>
      </c>
      <c r="BE35" s="32">
        <f>AL4</f>
        <v>6471</v>
      </c>
      <c r="BF35" s="32">
        <f>AL4+AO4+AR4+AS4</f>
        <v>5500.3499999999995</v>
      </c>
      <c r="BG35" s="32" t="s">
        <v>0</v>
      </c>
      <c r="BK35" s="32">
        <f ca="1">(CB21*0.14*-1)</f>
        <v>-1766.9910770324557</v>
      </c>
      <c r="BL35" s="32">
        <f ca="1">(CB21*0.01*-1)</f>
        <v>-126.21364835946112</v>
      </c>
      <c r="BM35" s="32">
        <f>(BC4+BK4+AZ18+AE33)</f>
        <v>195.88442682304341</v>
      </c>
      <c r="BN35" s="32">
        <f ca="1">(BY2+BK35+BL35-BM35)</f>
        <v>10868.715683731152</v>
      </c>
      <c r="BO35" s="32">
        <f ca="1">SUM($BN$25:BN35)</f>
        <v>121121.36192511399</v>
      </c>
      <c r="BP35" s="49">
        <f t="shared" ca="1" si="129"/>
        <v>0.27</v>
      </c>
      <c r="BQ35" s="46">
        <f t="shared" ca="1" si="131"/>
        <v>0</v>
      </c>
      <c r="BR35" s="47">
        <f>(0)</f>
        <v>0</v>
      </c>
      <c r="CM35" s="31">
        <v>33</v>
      </c>
      <c r="CN35" s="36">
        <v>16.5</v>
      </c>
      <c r="CO35" s="37">
        <v>0.35</v>
      </c>
    </row>
    <row r="36" spans="30:93" ht="39.950000000000003" hidden="1" customHeight="1" x14ac:dyDescent="0.25">
      <c r="AD36" s="32">
        <f t="shared" ref="AD36:AE36" si="152">(AD35/12)</f>
        <v>-175.36116617798936</v>
      </c>
      <c r="AE36" s="32">
        <f t="shared" si="152"/>
        <v>175.36116617798936</v>
      </c>
      <c r="AG36" s="32">
        <f t="shared" ref="AG36:AI36" ca="1" si="153">(AG35/12)</f>
        <v>0</v>
      </c>
      <c r="AH36" s="32">
        <f t="shared" ca="1" si="153"/>
        <v>0</v>
      </c>
      <c r="AI36" s="32">
        <f t="shared" ca="1" si="153"/>
        <v>0</v>
      </c>
      <c r="AJ36" s="32" t="s">
        <v>0</v>
      </c>
      <c r="AS36" s="38" t="s">
        <v>0</v>
      </c>
      <c r="AT36" s="38" t="s">
        <v>0</v>
      </c>
      <c r="AU36" s="38" t="s">
        <v>0</v>
      </c>
      <c r="AV36" s="38" t="s">
        <v>0</v>
      </c>
      <c r="AW36" s="32">
        <f t="shared" ref="AW36" si="154">(AW24+AW25+AW26+AW27+AW28+AW29+AW30+AW31+AW32+AW33+AW34+AW35)</f>
        <v>0</v>
      </c>
      <c r="AX36" s="32">
        <f t="shared" ref="AX36" si="155">(AX24+AX25+AX26+AX27+AX28+AX29+AX30+AX31+AX32+AX33+AX34+AX35)</f>
        <v>58522.499999999993</v>
      </c>
      <c r="AY36" s="38" t="s">
        <v>0</v>
      </c>
      <c r="AZ36" s="31" t="s">
        <v>0</v>
      </c>
      <c r="BA36" s="31" t="s">
        <v>0</v>
      </c>
      <c r="BB36" s="31" t="s">
        <v>0</v>
      </c>
      <c r="BC36" s="32">
        <f t="shared" ref="BC36" si="156">(BC24+BC25+BC26+BC27+BC28+BC29+BC30+BC31+BC32+BC33+BC34+BC35)</f>
        <v>10104.5</v>
      </c>
      <c r="BD36" s="31" t="s">
        <v>0</v>
      </c>
      <c r="BE36" s="32">
        <f t="shared" ref="BE36" si="157">(BE24+BE25+BE26+BE27+BE28+BE29+BE30+BE31+BE32+BE33+BE34+BE35)</f>
        <v>68850</v>
      </c>
      <c r="BF36" s="32">
        <f t="shared" ref="BF36" si="158">(BF24+BF25+BF26+BF27+BF28+BF29+BF30+BF31+BF32+BF33+BF34+BF35)</f>
        <v>58522.499999999993</v>
      </c>
      <c r="BG36" s="33" t="s">
        <v>0</v>
      </c>
      <c r="BK36" s="32">
        <f ca="1">(CB22*0.14*-1)</f>
        <v>-2648.110813228755</v>
      </c>
      <c r="BL36" s="32">
        <f ca="1">(CB22*0.01*-1)</f>
        <v>-189.15077237348248</v>
      </c>
      <c r="BM36" s="32">
        <f>(BC5+BK5+AZ19+AE34)</f>
        <v>195.88442682304341</v>
      </c>
      <c r="BN36" s="32">
        <f ca="1">(BY3+BK36+BL36-BM36)</f>
        <v>16231.311224922965</v>
      </c>
      <c r="BO36" s="32">
        <f ca="1">SUM($BN$25:BN36)</f>
        <v>137352.67315003695</v>
      </c>
      <c r="BP36" s="49">
        <f t="shared" ca="1" si="129"/>
        <v>0.27</v>
      </c>
      <c r="BQ36" s="46">
        <f t="shared" ca="1" si="131"/>
        <v>0</v>
      </c>
      <c r="BR36" s="47">
        <f>(0)</f>
        <v>0</v>
      </c>
      <c r="CM36" s="31">
        <v>34</v>
      </c>
      <c r="CN36" s="36">
        <v>17</v>
      </c>
      <c r="CO36" s="37">
        <v>0.36</v>
      </c>
    </row>
    <row r="37" spans="30:93" ht="39.950000000000003" hidden="1" customHeight="1" x14ac:dyDescent="0.25">
      <c r="AS37" s="38" t="s">
        <v>0</v>
      </c>
      <c r="AT37" s="38" t="s">
        <v>0</v>
      </c>
      <c r="AU37" s="38" t="s">
        <v>0</v>
      </c>
      <c r="AV37" s="38" t="s">
        <v>0</v>
      </c>
      <c r="AW37" s="32">
        <f t="shared" ref="AW37" si="159">(AW36/12)</f>
        <v>0</v>
      </c>
      <c r="AX37" s="32">
        <f t="shared" ref="AX37" si="160">(AX36/12)</f>
        <v>4876.8749999999991</v>
      </c>
      <c r="AY37" s="38" t="s">
        <v>0</v>
      </c>
      <c r="AZ37" s="38" t="s">
        <v>0</v>
      </c>
      <c r="BA37" s="38" t="s">
        <v>0</v>
      </c>
      <c r="BB37" s="38" t="s">
        <v>0</v>
      </c>
      <c r="BC37" s="32">
        <f t="shared" ref="BC37" si="161">(BC36/12)</f>
        <v>842.04166666666663</v>
      </c>
      <c r="BD37" s="38" t="s">
        <v>0</v>
      </c>
      <c r="BE37" s="32">
        <f t="shared" ref="BE37" si="162">(BE36/12)</f>
        <v>5737.5</v>
      </c>
      <c r="BF37" s="32">
        <f t="shared" ref="BF37" si="163">(BF36/12)</f>
        <v>4876.8749999999991</v>
      </c>
      <c r="BG37" s="32" t="s">
        <v>0</v>
      </c>
      <c r="BK37" s="32">
        <f ca="1">(BK25+BK26+BK27+BK28+BK29+AS5+AS6+AS7+AS8+BK34+BK35+BK36)</f>
        <v>-22377.09552962847</v>
      </c>
      <c r="BL37" s="32">
        <f t="shared" ref="BL37" ca="1" si="164">(BL25+BL26+BL27+BL28+BL29+BL30+BL31+BL32+BL33+BL34+BL35+BL36)</f>
        <v>-1598.3639664020334</v>
      </c>
      <c r="BM37" s="32">
        <f t="shared" ref="BM37" si="165">(BM25+BM26+BM27+BM28+BM29+BM30+BM31+BM32+BM33+BM34+BM35+BM36)</f>
        <v>2104.3339941358722</v>
      </c>
      <c r="BN37" s="32">
        <f t="shared" ref="BN37" ca="1" si="166">(BN25+BN26+BN27+BN28+BN29+BN30+BN31+BN32+BN33+BN34+BN35+BN36)</f>
        <v>137352.67315003695</v>
      </c>
      <c r="BO37" s="38" t="s">
        <v>0</v>
      </c>
      <c r="BP37" s="31" t="s">
        <v>0</v>
      </c>
      <c r="BQ37" s="31" t="s">
        <v>0</v>
      </c>
      <c r="BR37" s="31" t="s">
        <v>0</v>
      </c>
      <c r="CM37" s="31">
        <v>35</v>
      </c>
      <c r="CN37" s="36">
        <v>17.5</v>
      </c>
      <c r="CO37" s="37">
        <v>0.37</v>
      </c>
    </row>
    <row r="38" spans="30:93" ht="39.950000000000003" hidden="1" customHeight="1" x14ac:dyDescent="0.25">
      <c r="BK38" s="32">
        <f t="shared" ref="BK38" ca="1" si="167">(BK37/12)</f>
        <v>-1864.7579608023725</v>
      </c>
      <c r="BL38" s="32">
        <f t="shared" ref="BL38" ca="1" si="168">(BL37/12)</f>
        <v>-133.19699720016945</v>
      </c>
      <c r="BM38" s="32">
        <f t="shared" ref="BM38" si="169">(BM37/12)</f>
        <v>175.36116617798936</v>
      </c>
      <c r="BN38" s="32">
        <f t="shared" ref="BN38" ca="1" si="170">(BN37/12)</f>
        <v>11446.056095836413</v>
      </c>
      <c r="BO38" s="38" t="s">
        <v>0</v>
      </c>
      <c r="BP38" s="38" t="s">
        <v>0</v>
      </c>
      <c r="BQ38" s="38" t="s">
        <v>0</v>
      </c>
      <c r="BR38" s="38" t="s">
        <v>0</v>
      </c>
      <c r="CM38" s="31">
        <v>36</v>
      </c>
      <c r="CN38" s="36">
        <v>18</v>
      </c>
      <c r="CO38" s="37">
        <v>0.38</v>
      </c>
    </row>
    <row r="39" spans="30:93" ht="39.950000000000003" hidden="1" customHeight="1" x14ac:dyDescent="0.25">
      <c r="CM39" s="31">
        <v>37</v>
      </c>
      <c r="CN39" s="36">
        <v>18.5</v>
      </c>
      <c r="CO39" s="37">
        <v>0.39</v>
      </c>
    </row>
    <row r="40" spans="30:93" ht="39.950000000000003" hidden="1" customHeight="1" x14ac:dyDescent="0.25">
      <c r="CM40" s="31">
        <v>38</v>
      </c>
      <c r="CN40" s="36">
        <v>19</v>
      </c>
      <c r="CO40" s="37">
        <v>0.4</v>
      </c>
    </row>
    <row r="41" spans="30:93" ht="39.950000000000003" hidden="1" customHeight="1" x14ac:dyDescent="0.25">
      <c r="CM41" s="31">
        <v>39</v>
      </c>
      <c r="CN41" s="36">
        <v>19.5</v>
      </c>
      <c r="CO41" s="37">
        <v>0.41</v>
      </c>
    </row>
    <row r="42" spans="30:93" ht="39.950000000000003" hidden="1" customHeight="1" x14ac:dyDescent="0.25">
      <c r="CM42" s="31">
        <v>40</v>
      </c>
      <c r="CN42" s="36">
        <v>20</v>
      </c>
      <c r="CO42" s="37">
        <v>0.42</v>
      </c>
    </row>
    <row r="43" spans="30:93" ht="39.950000000000003" hidden="1" customHeight="1" x14ac:dyDescent="0.25">
      <c r="CM43" s="31">
        <v>41</v>
      </c>
      <c r="CN43" s="36">
        <v>20.5</v>
      </c>
      <c r="CO43" s="37">
        <v>0.43</v>
      </c>
    </row>
    <row r="44" spans="30:93" ht="39.950000000000003" hidden="1" customHeight="1" x14ac:dyDescent="0.25">
      <c r="CM44" s="31">
        <v>42</v>
      </c>
      <c r="CN44" s="36">
        <v>21</v>
      </c>
      <c r="CO44" s="37">
        <v>0.44</v>
      </c>
    </row>
    <row r="45" spans="30:93" ht="39.950000000000003" hidden="1" customHeight="1" x14ac:dyDescent="0.25">
      <c r="CM45" s="31">
        <v>43</v>
      </c>
      <c r="CN45" s="36">
        <v>21.5</v>
      </c>
      <c r="CO45" s="37">
        <v>0.45</v>
      </c>
    </row>
    <row r="46" spans="30:93" ht="39.950000000000003" hidden="1" customHeight="1" x14ac:dyDescent="0.25">
      <c r="CM46" s="31">
        <v>44</v>
      </c>
      <c r="CN46" s="36">
        <v>22</v>
      </c>
      <c r="CO46" s="37">
        <v>0.46</v>
      </c>
    </row>
    <row r="47" spans="30:93" ht="39.950000000000003" hidden="1" customHeight="1" x14ac:dyDescent="0.25">
      <c r="CM47" s="31">
        <v>45</v>
      </c>
      <c r="CN47" s="36">
        <v>22.5</v>
      </c>
      <c r="CO47" s="37">
        <v>0.47</v>
      </c>
    </row>
    <row r="48" spans="30:93" ht="39.950000000000003" hidden="1" customHeight="1" x14ac:dyDescent="0.25">
      <c r="CM48" s="31">
        <v>46</v>
      </c>
      <c r="CN48" s="36">
        <v>23</v>
      </c>
      <c r="CO48" s="37">
        <v>0.48</v>
      </c>
    </row>
    <row r="49" spans="91:93" ht="39.950000000000003" hidden="1" customHeight="1" x14ac:dyDescent="0.25">
      <c r="CM49" s="31">
        <v>47</v>
      </c>
      <c r="CN49" s="36">
        <v>23.5</v>
      </c>
      <c r="CO49" s="37">
        <v>0.49</v>
      </c>
    </row>
    <row r="50" spans="91:93" ht="39.950000000000003" hidden="1" customHeight="1" x14ac:dyDescent="0.25">
      <c r="CM50" s="31">
        <v>48</v>
      </c>
      <c r="CN50" s="36">
        <v>24</v>
      </c>
      <c r="CO50" s="37">
        <v>0.5</v>
      </c>
    </row>
    <row r="51" spans="91:93" ht="39.950000000000003" hidden="1" customHeight="1" x14ac:dyDescent="0.25">
      <c r="CM51" s="31">
        <v>49</v>
      </c>
      <c r="CN51" s="36">
        <v>24.5</v>
      </c>
      <c r="CO51" s="52" t="s">
        <v>0</v>
      </c>
    </row>
    <row r="52" spans="91:93" ht="39.950000000000003" hidden="1" customHeight="1" x14ac:dyDescent="0.25">
      <c r="CM52" s="31">
        <v>50</v>
      </c>
      <c r="CN52" s="36">
        <v>25</v>
      </c>
      <c r="CO52" s="52" t="s">
        <v>0</v>
      </c>
    </row>
    <row r="53" spans="91:93" ht="39.950000000000003" hidden="1" customHeight="1" x14ac:dyDescent="0.25">
      <c r="CM53" s="31">
        <v>51</v>
      </c>
      <c r="CN53" s="36">
        <v>25.5</v>
      </c>
      <c r="CO53" s="52" t="s">
        <v>0</v>
      </c>
    </row>
    <row r="54" spans="91:93" ht="39.950000000000003" hidden="1" customHeight="1" x14ac:dyDescent="0.25">
      <c r="CM54" s="31">
        <v>52</v>
      </c>
      <c r="CN54" s="36">
        <v>26</v>
      </c>
      <c r="CO54" s="52" t="s">
        <v>0</v>
      </c>
    </row>
    <row r="55" spans="91:93" ht="39.950000000000003" hidden="1" customHeight="1" x14ac:dyDescent="0.25">
      <c r="CM55" s="31">
        <v>53</v>
      </c>
      <c r="CN55" s="36">
        <v>26.5</v>
      </c>
      <c r="CO55" s="52" t="s">
        <v>0</v>
      </c>
    </row>
    <row r="56" spans="91:93" ht="39.950000000000003" hidden="1" customHeight="1" x14ac:dyDescent="0.25">
      <c r="CM56" s="31">
        <v>54</v>
      </c>
      <c r="CN56" s="36">
        <v>27</v>
      </c>
      <c r="CO56" s="52" t="s">
        <v>0</v>
      </c>
    </row>
    <row r="57" spans="91:93" ht="39.950000000000003" hidden="1" customHeight="1" x14ac:dyDescent="0.25">
      <c r="CM57" s="31">
        <v>55</v>
      </c>
      <c r="CN57" s="36">
        <v>27.5</v>
      </c>
      <c r="CO57" s="52" t="s">
        <v>0</v>
      </c>
    </row>
    <row r="58" spans="91:93" ht="39.950000000000003" hidden="1" customHeight="1" x14ac:dyDescent="0.25">
      <c r="CM58" s="31">
        <v>56</v>
      </c>
      <c r="CN58" s="36">
        <v>28</v>
      </c>
      <c r="CO58" s="52" t="s">
        <v>0</v>
      </c>
    </row>
    <row r="59" spans="91:93" ht="39.950000000000003" hidden="1" customHeight="1" x14ac:dyDescent="0.25">
      <c r="CM59" s="31">
        <v>57</v>
      </c>
      <c r="CN59" s="36">
        <v>28.5</v>
      </c>
      <c r="CO59" s="52" t="s">
        <v>0</v>
      </c>
    </row>
    <row r="60" spans="91:93" ht="39.950000000000003" hidden="1" customHeight="1" x14ac:dyDescent="0.25">
      <c r="CM60" s="31">
        <v>58</v>
      </c>
      <c r="CN60" s="36">
        <v>29</v>
      </c>
      <c r="CO60" s="52" t="s">
        <v>0</v>
      </c>
    </row>
    <row r="61" spans="91:93" ht="39.950000000000003" hidden="1" customHeight="1" x14ac:dyDescent="0.25">
      <c r="CM61" s="31">
        <v>59</v>
      </c>
      <c r="CN61" s="36">
        <v>29.5</v>
      </c>
      <c r="CO61" s="52" t="s">
        <v>0</v>
      </c>
    </row>
    <row r="62" spans="91:93" ht="39.950000000000003" hidden="1" customHeight="1" x14ac:dyDescent="0.25">
      <c r="CM62" s="31">
        <v>60</v>
      </c>
      <c r="CN62" s="36">
        <v>30</v>
      </c>
      <c r="CO62" s="52" t="s">
        <v>0</v>
      </c>
    </row>
    <row r="63" spans="91:93" ht="39.950000000000003" hidden="1" customHeight="1" x14ac:dyDescent="0.25">
      <c r="CM63" s="31">
        <v>61</v>
      </c>
      <c r="CN63" s="36">
        <v>30.5</v>
      </c>
      <c r="CO63" s="52" t="s">
        <v>0</v>
      </c>
    </row>
    <row r="64" spans="91:93" ht="39.950000000000003" hidden="1" customHeight="1" x14ac:dyDescent="0.25">
      <c r="CM64" s="31">
        <v>62</v>
      </c>
      <c r="CN64" s="36">
        <v>31</v>
      </c>
      <c r="CO64" s="52" t="s">
        <v>0</v>
      </c>
    </row>
    <row r="65" spans="91:93" ht="39.950000000000003" hidden="1" customHeight="1" x14ac:dyDescent="0.25">
      <c r="CM65" s="31">
        <v>63</v>
      </c>
      <c r="CN65" s="36">
        <v>31.5</v>
      </c>
      <c r="CO65" s="52" t="s">
        <v>0</v>
      </c>
    </row>
    <row r="66" spans="91:93" ht="39.950000000000003" hidden="1" customHeight="1" x14ac:dyDescent="0.25">
      <c r="CM66" s="31">
        <v>64</v>
      </c>
      <c r="CN66" s="36">
        <v>32</v>
      </c>
      <c r="CO66" s="52" t="s">
        <v>0</v>
      </c>
    </row>
    <row r="67" spans="91:93" ht="39.950000000000003" hidden="1" customHeight="1" x14ac:dyDescent="0.25">
      <c r="CM67" s="31">
        <v>65</v>
      </c>
      <c r="CN67" s="36">
        <v>32.5</v>
      </c>
      <c r="CO67" s="52" t="s">
        <v>0</v>
      </c>
    </row>
    <row r="68" spans="91:93" ht="39.950000000000003" hidden="1" customHeight="1" x14ac:dyDescent="0.25">
      <c r="CM68" s="31">
        <v>66</v>
      </c>
      <c r="CN68" s="36">
        <v>33</v>
      </c>
      <c r="CO68" s="52" t="s">
        <v>0</v>
      </c>
    </row>
    <row r="69" spans="91:93" ht="39.950000000000003" hidden="1" customHeight="1" x14ac:dyDescent="0.25">
      <c r="CM69" s="31">
        <v>67</v>
      </c>
      <c r="CN69" s="36">
        <v>33.5</v>
      </c>
      <c r="CO69" s="52" t="s">
        <v>0</v>
      </c>
    </row>
    <row r="70" spans="91:93" ht="39.950000000000003" hidden="1" customHeight="1" x14ac:dyDescent="0.25">
      <c r="CM70" s="31">
        <v>68</v>
      </c>
      <c r="CN70" s="36">
        <v>34</v>
      </c>
      <c r="CO70" s="52" t="s">
        <v>0</v>
      </c>
    </row>
    <row r="71" spans="91:93" ht="39.950000000000003" hidden="1" customHeight="1" x14ac:dyDescent="0.25">
      <c r="CM71" s="31">
        <v>69</v>
      </c>
      <c r="CN71" s="36">
        <v>34.5</v>
      </c>
      <c r="CO71" s="52" t="s">
        <v>0</v>
      </c>
    </row>
    <row r="72" spans="91:93" ht="39.950000000000003" hidden="1" customHeight="1" x14ac:dyDescent="0.25">
      <c r="CM72" s="31">
        <v>70</v>
      </c>
      <c r="CN72" s="36">
        <v>35</v>
      </c>
      <c r="CO72" s="52" t="s">
        <v>0</v>
      </c>
    </row>
    <row r="73" spans="91:93" ht="39.950000000000003" hidden="1" customHeight="1" x14ac:dyDescent="0.25">
      <c r="CM73" s="31">
        <v>71</v>
      </c>
      <c r="CN73" s="36">
        <v>35.5</v>
      </c>
      <c r="CO73" s="52" t="s">
        <v>0</v>
      </c>
    </row>
    <row r="74" spans="91:93" ht="39.950000000000003" hidden="1" customHeight="1" x14ac:dyDescent="0.25">
      <c r="CM74" s="31">
        <v>72</v>
      </c>
      <c r="CN74" s="36">
        <v>36</v>
      </c>
      <c r="CO74" s="52" t="s">
        <v>0</v>
      </c>
    </row>
    <row r="75" spans="91:93" ht="39.950000000000003" hidden="1" customHeight="1" x14ac:dyDescent="0.25">
      <c r="CM75" s="31">
        <v>73</v>
      </c>
      <c r="CN75" s="36">
        <v>36.5</v>
      </c>
      <c r="CO75" s="52" t="s">
        <v>0</v>
      </c>
    </row>
    <row r="76" spans="91:93" ht="39.950000000000003" hidden="1" customHeight="1" x14ac:dyDescent="0.25">
      <c r="CM76" s="31">
        <v>74</v>
      </c>
      <c r="CN76" s="36">
        <v>37</v>
      </c>
      <c r="CO76" s="52" t="s">
        <v>0</v>
      </c>
    </row>
    <row r="77" spans="91:93" ht="39.950000000000003" hidden="1" customHeight="1" x14ac:dyDescent="0.25">
      <c r="CM77" s="31">
        <v>75</v>
      </c>
      <c r="CN77" s="36">
        <v>37.5</v>
      </c>
      <c r="CO77" s="52" t="s">
        <v>0</v>
      </c>
    </row>
    <row r="78" spans="91:93" ht="39.950000000000003" hidden="1" customHeight="1" x14ac:dyDescent="0.25">
      <c r="CM78" s="31">
        <v>76</v>
      </c>
      <c r="CN78" s="36">
        <v>38</v>
      </c>
      <c r="CO78" s="52" t="s">
        <v>0</v>
      </c>
    </row>
    <row r="79" spans="91:93" ht="39.950000000000003" hidden="1" customHeight="1" x14ac:dyDescent="0.25">
      <c r="CM79" s="31">
        <v>77</v>
      </c>
      <c r="CN79" s="36">
        <v>38.5</v>
      </c>
      <c r="CO79" s="52" t="s">
        <v>0</v>
      </c>
    </row>
    <row r="80" spans="91:93" ht="39.950000000000003" hidden="1" customHeight="1" x14ac:dyDescent="0.25">
      <c r="CM80" s="31">
        <v>78</v>
      </c>
      <c r="CN80" s="36">
        <v>39</v>
      </c>
      <c r="CO80" s="52" t="s">
        <v>0</v>
      </c>
    </row>
    <row r="81" spans="91:93" ht="39.950000000000003" hidden="1" customHeight="1" x14ac:dyDescent="0.25">
      <c r="CM81" s="31">
        <v>79</v>
      </c>
      <c r="CN81" s="36">
        <v>39.5</v>
      </c>
      <c r="CO81" s="52" t="s">
        <v>0</v>
      </c>
    </row>
    <row r="82" spans="91:93" ht="39.950000000000003" hidden="1" customHeight="1" x14ac:dyDescent="0.25">
      <c r="CM82" s="31">
        <v>80</v>
      </c>
      <c r="CN82" s="36">
        <v>40</v>
      </c>
      <c r="CO82" s="52" t="s">
        <v>0</v>
      </c>
    </row>
    <row r="83" spans="91:93" ht="39.950000000000003" hidden="1" customHeight="1" x14ac:dyDescent="0.25">
      <c r="CM83" s="31">
        <v>81</v>
      </c>
      <c r="CN83" s="36">
        <v>40.5</v>
      </c>
      <c r="CO83" s="52" t="s">
        <v>0</v>
      </c>
    </row>
    <row r="84" spans="91:93" ht="39.950000000000003" hidden="1" customHeight="1" x14ac:dyDescent="0.25">
      <c r="CM84" s="31">
        <v>82</v>
      </c>
      <c r="CN84" s="36">
        <v>41</v>
      </c>
      <c r="CO84" s="52" t="s">
        <v>0</v>
      </c>
    </row>
    <row r="85" spans="91:93" ht="39.950000000000003" hidden="1" customHeight="1" x14ac:dyDescent="0.25">
      <c r="CM85" s="31">
        <v>83</v>
      </c>
      <c r="CN85" s="36">
        <v>41.5</v>
      </c>
      <c r="CO85" s="52" t="s">
        <v>0</v>
      </c>
    </row>
    <row r="86" spans="91:93" ht="39.950000000000003" hidden="1" customHeight="1" x14ac:dyDescent="0.25">
      <c r="CM86" s="31">
        <v>84</v>
      </c>
      <c r="CN86" s="36">
        <v>42</v>
      </c>
      <c r="CO86" s="52" t="s">
        <v>0</v>
      </c>
    </row>
    <row r="87" spans="91:93" ht="39.950000000000003" hidden="1" customHeight="1" x14ac:dyDescent="0.25">
      <c r="CM87" s="31">
        <v>85</v>
      </c>
      <c r="CN87" s="36">
        <v>42.5</v>
      </c>
      <c r="CO87" s="52" t="s">
        <v>0</v>
      </c>
    </row>
    <row r="88" spans="91:93" ht="39.950000000000003" hidden="1" customHeight="1" x14ac:dyDescent="0.25">
      <c r="CM88" s="31">
        <v>86</v>
      </c>
      <c r="CN88" s="36">
        <v>43</v>
      </c>
      <c r="CO88" s="52" t="s">
        <v>0</v>
      </c>
    </row>
    <row r="89" spans="91:93" ht="39.950000000000003" hidden="1" customHeight="1" x14ac:dyDescent="0.25">
      <c r="CM89" s="31">
        <v>87</v>
      </c>
      <c r="CN89" s="36">
        <v>43.5</v>
      </c>
      <c r="CO89" s="52" t="s">
        <v>0</v>
      </c>
    </row>
    <row r="90" spans="91:93" ht="39.950000000000003" hidden="1" customHeight="1" x14ac:dyDescent="0.25">
      <c r="CM90" s="31">
        <v>88</v>
      </c>
      <c r="CN90" s="36">
        <v>44</v>
      </c>
      <c r="CO90" s="52" t="s">
        <v>0</v>
      </c>
    </row>
    <row r="91" spans="91:93" ht="39.950000000000003" hidden="1" customHeight="1" x14ac:dyDescent="0.25">
      <c r="CM91" s="31">
        <v>89</v>
      </c>
      <c r="CN91" s="36">
        <v>44.5</v>
      </c>
      <c r="CO91" s="52" t="s">
        <v>0</v>
      </c>
    </row>
    <row r="92" spans="91:93" ht="39.950000000000003" hidden="1" customHeight="1" x14ac:dyDescent="0.25">
      <c r="CM92" s="31">
        <v>90</v>
      </c>
      <c r="CN92" s="36">
        <v>45</v>
      </c>
      <c r="CO92" s="52" t="s">
        <v>0</v>
      </c>
    </row>
    <row r="93" spans="91:93" ht="39.950000000000003" hidden="1" customHeight="1" x14ac:dyDescent="0.25">
      <c r="CM93" s="31">
        <v>91</v>
      </c>
      <c r="CN93" s="36">
        <v>45.5</v>
      </c>
      <c r="CO93" s="52" t="s">
        <v>0</v>
      </c>
    </row>
    <row r="94" spans="91:93" ht="39.950000000000003" hidden="1" customHeight="1" x14ac:dyDescent="0.25">
      <c r="CM94" s="31">
        <v>92</v>
      </c>
      <c r="CN94" s="36">
        <v>46</v>
      </c>
      <c r="CO94" s="52" t="s">
        <v>0</v>
      </c>
    </row>
    <row r="95" spans="91:93" ht="39.950000000000003" hidden="1" customHeight="1" x14ac:dyDescent="0.25">
      <c r="CM95" s="31">
        <v>93</v>
      </c>
      <c r="CN95" s="36">
        <v>46.5</v>
      </c>
      <c r="CO95" s="52" t="s">
        <v>0</v>
      </c>
    </row>
    <row r="96" spans="91:93" ht="39.950000000000003" hidden="1" customHeight="1" x14ac:dyDescent="0.25">
      <c r="CM96" s="31">
        <v>94</v>
      </c>
      <c r="CN96" s="36">
        <v>47</v>
      </c>
      <c r="CO96" s="52" t="s">
        <v>0</v>
      </c>
    </row>
    <row r="97" spans="91:93" ht="39.950000000000003" hidden="1" customHeight="1" x14ac:dyDescent="0.25">
      <c r="CM97" s="31">
        <v>95</v>
      </c>
      <c r="CN97" s="36">
        <v>47.5</v>
      </c>
      <c r="CO97" s="52" t="s">
        <v>0</v>
      </c>
    </row>
    <row r="98" spans="91:93" ht="39.950000000000003" hidden="1" customHeight="1" x14ac:dyDescent="0.25">
      <c r="CM98" s="31">
        <v>96</v>
      </c>
      <c r="CN98" s="36">
        <v>48</v>
      </c>
      <c r="CO98" s="52" t="s">
        <v>0</v>
      </c>
    </row>
    <row r="99" spans="91:93" ht="39.950000000000003" hidden="1" customHeight="1" x14ac:dyDescent="0.25">
      <c r="CM99" s="31">
        <v>97</v>
      </c>
      <c r="CN99" s="36">
        <v>48.5</v>
      </c>
      <c r="CO99" s="52" t="s">
        <v>0</v>
      </c>
    </row>
    <row r="100" spans="91:93" ht="39.950000000000003" hidden="1" customHeight="1" x14ac:dyDescent="0.25">
      <c r="CM100" s="31">
        <v>98</v>
      </c>
      <c r="CN100" s="36">
        <v>49</v>
      </c>
      <c r="CO100" s="52" t="s">
        <v>0</v>
      </c>
    </row>
    <row r="101" spans="91:93" ht="39.950000000000003" hidden="1" customHeight="1" x14ac:dyDescent="0.25">
      <c r="CM101" s="31">
        <v>99</v>
      </c>
      <c r="CN101" s="36">
        <v>49.5</v>
      </c>
      <c r="CO101" s="52" t="s">
        <v>0</v>
      </c>
    </row>
    <row r="102" spans="91:93" ht="39.950000000000003" hidden="1" customHeight="1" x14ac:dyDescent="0.25">
      <c r="CM102" s="31">
        <v>100</v>
      </c>
      <c r="CN102" s="36">
        <v>50</v>
      </c>
      <c r="CO102" s="52" t="s">
        <v>0</v>
      </c>
    </row>
    <row r="103" spans="91:93" ht="39.950000000000003" hidden="1" customHeight="1" x14ac:dyDescent="0.25">
      <c r="CM103" s="31">
        <v>101</v>
      </c>
      <c r="CN103" s="36">
        <v>50.5</v>
      </c>
      <c r="CO103" s="52" t="s">
        <v>0</v>
      </c>
    </row>
    <row r="104" spans="91:93" ht="39.950000000000003" hidden="1" customHeight="1" x14ac:dyDescent="0.25">
      <c r="CM104" s="31">
        <v>102</v>
      </c>
      <c r="CN104" s="36">
        <v>51</v>
      </c>
      <c r="CO104" s="52" t="s">
        <v>0</v>
      </c>
    </row>
    <row r="105" spans="91:93" ht="39.950000000000003" hidden="1" customHeight="1" x14ac:dyDescent="0.25">
      <c r="CM105" s="31">
        <v>103</v>
      </c>
      <c r="CN105" s="36">
        <v>51.5</v>
      </c>
      <c r="CO105" s="52" t="s">
        <v>0</v>
      </c>
    </row>
    <row r="106" spans="91:93" ht="39.950000000000003" hidden="1" customHeight="1" x14ac:dyDescent="0.25">
      <c r="CM106" s="31">
        <v>104</v>
      </c>
      <c r="CN106" s="36">
        <v>52</v>
      </c>
      <c r="CO106" s="52" t="s">
        <v>0</v>
      </c>
    </row>
    <row r="107" spans="91:93" ht="39.950000000000003" hidden="1" customHeight="1" x14ac:dyDescent="0.25">
      <c r="CM107" s="31">
        <v>105</v>
      </c>
      <c r="CN107" s="36">
        <v>52.5</v>
      </c>
      <c r="CO107" s="52" t="s">
        <v>0</v>
      </c>
    </row>
    <row r="108" spans="91:93" ht="39.950000000000003" hidden="1" customHeight="1" x14ac:dyDescent="0.25">
      <c r="CM108" s="31">
        <v>106</v>
      </c>
      <c r="CN108" s="36">
        <v>53</v>
      </c>
      <c r="CO108" s="52" t="s">
        <v>0</v>
      </c>
    </row>
    <row r="109" spans="91:93" ht="39.950000000000003" hidden="1" customHeight="1" x14ac:dyDescent="0.25">
      <c r="CM109" s="31">
        <v>107</v>
      </c>
      <c r="CN109" s="36">
        <v>53.5</v>
      </c>
      <c r="CO109" s="52" t="s">
        <v>0</v>
      </c>
    </row>
    <row r="110" spans="91:93" ht="39.950000000000003" hidden="1" customHeight="1" x14ac:dyDescent="0.25">
      <c r="CM110" s="31">
        <v>108</v>
      </c>
      <c r="CN110" s="36">
        <v>54</v>
      </c>
      <c r="CO110" s="52" t="s">
        <v>0</v>
      </c>
    </row>
    <row r="111" spans="91:93" ht="39.950000000000003" hidden="1" customHeight="1" x14ac:dyDescent="0.25">
      <c r="CM111" s="31">
        <v>109</v>
      </c>
      <c r="CN111" s="36">
        <v>54.5</v>
      </c>
      <c r="CO111" s="52" t="s">
        <v>0</v>
      </c>
    </row>
    <row r="112" spans="91:93" ht="39.950000000000003" hidden="1" customHeight="1" x14ac:dyDescent="0.25">
      <c r="CM112" s="31">
        <v>110</v>
      </c>
      <c r="CN112" s="36">
        <v>55</v>
      </c>
      <c r="CO112" s="52" t="s">
        <v>0</v>
      </c>
    </row>
    <row r="113" spans="91:93" ht="39.950000000000003" hidden="1" customHeight="1" x14ac:dyDescent="0.25">
      <c r="CM113" s="31">
        <v>111</v>
      </c>
      <c r="CN113" s="36">
        <v>55.5</v>
      </c>
      <c r="CO113" s="52" t="s">
        <v>0</v>
      </c>
    </row>
    <row r="114" spans="91:93" ht="39.950000000000003" hidden="1" customHeight="1" x14ac:dyDescent="0.25">
      <c r="CM114" s="31">
        <v>112</v>
      </c>
      <c r="CN114" s="36">
        <v>56</v>
      </c>
      <c r="CO114" s="52" t="s">
        <v>0</v>
      </c>
    </row>
    <row r="115" spans="91:93" ht="39.950000000000003" hidden="1" customHeight="1" x14ac:dyDescent="0.25">
      <c r="CM115" s="31">
        <v>113</v>
      </c>
      <c r="CN115" s="36">
        <v>56.5</v>
      </c>
      <c r="CO115" s="52" t="s">
        <v>0</v>
      </c>
    </row>
    <row r="116" spans="91:93" ht="39.950000000000003" hidden="1" customHeight="1" x14ac:dyDescent="0.25">
      <c r="CM116" s="31">
        <v>114</v>
      </c>
      <c r="CN116" s="36">
        <v>57</v>
      </c>
      <c r="CO116" s="52" t="s">
        <v>0</v>
      </c>
    </row>
    <row r="117" spans="91:93" ht="39.950000000000003" hidden="1" customHeight="1" x14ac:dyDescent="0.25">
      <c r="CM117" s="31">
        <v>115</v>
      </c>
      <c r="CN117" s="36">
        <v>57.5</v>
      </c>
      <c r="CO117" s="52" t="s">
        <v>0</v>
      </c>
    </row>
    <row r="118" spans="91:93" ht="39.950000000000003" hidden="1" customHeight="1" x14ac:dyDescent="0.25">
      <c r="CM118" s="31">
        <v>116</v>
      </c>
      <c r="CN118" s="36">
        <v>58</v>
      </c>
      <c r="CO118" s="52" t="s">
        <v>0</v>
      </c>
    </row>
    <row r="119" spans="91:93" ht="39.950000000000003" hidden="1" customHeight="1" x14ac:dyDescent="0.25">
      <c r="CM119" s="31">
        <v>117</v>
      </c>
      <c r="CN119" s="36">
        <v>58.5</v>
      </c>
      <c r="CO119" s="52" t="s">
        <v>0</v>
      </c>
    </row>
    <row r="120" spans="91:93" ht="39.950000000000003" hidden="1" customHeight="1" x14ac:dyDescent="0.25">
      <c r="CM120" s="31">
        <v>118</v>
      </c>
      <c r="CN120" s="36">
        <v>59</v>
      </c>
      <c r="CO120" s="52" t="s">
        <v>0</v>
      </c>
    </row>
    <row r="121" spans="91:93" ht="39.950000000000003" hidden="1" customHeight="1" x14ac:dyDescent="0.25">
      <c r="CM121" s="31">
        <v>119</v>
      </c>
      <c r="CN121" s="36">
        <v>59.5</v>
      </c>
      <c r="CO121" s="52" t="s">
        <v>0</v>
      </c>
    </row>
    <row r="122" spans="91:93" ht="39.950000000000003" hidden="1" customHeight="1" x14ac:dyDescent="0.25">
      <c r="CM122" s="31">
        <v>120</v>
      </c>
      <c r="CN122" s="36">
        <v>60</v>
      </c>
      <c r="CO122" s="52" t="s">
        <v>0</v>
      </c>
    </row>
    <row r="123" spans="91:93" ht="39.950000000000003" hidden="1" customHeight="1" x14ac:dyDescent="0.25">
      <c r="CM123" s="31">
        <v>121</v>
      </c>
      <c r="CN123" s="36">
        <v>60.5</v>
      </c>
      <c r="CO123" s="52" t="s">
        <v>0</v>
      </c>
    </row>
    <row r="124" spans="91:93" ht="39.950000000000003" hidden="1" customHeight="1" x14ac:dyDescent="0.25">
      <c r="CM124" s="31">
        <v>122</v>
      </c>
      <c r="CN124" s="36">
        <v>61</v>
      </c>
      <c r="CO124" s="52" t="s">
        <v>0</v>
      </c>
    </row>
    <row r="125" spans="91:93" ht="39.950000000000003" hidden="1" customHeight="1" x14ac:dyDescent="0.25">
      <c r="CM125" s="31">
        <v>123</v>
      </c>
      <c r="CN125" s="36">
        <v>61.5</v>
      </c>
      <c r="CO125" s="52" t="s">
        <v>0</v>
      </c>
    </row>
    <row r="126" spans="91:93" ht="39.950000000000003" hidden="1" customHeight="1" x14ac:dyDescent="0.25">
      <c r="CM126" s="31">
        <v>124</v>
      </c>
      <c r="CN126" s="36">
        <v>62</v>
      </c>
      <c r="CO126" s="52" t="s">
        <v>0</v>
      </c>
    </row>
    <row r="127" spans="91:93" ht="39.950000000000003" hidden="1" customHeight="1" x14ac:dyDescent="0.25">
      <c r="CM127" s="31">
        <v>125</v>
      </c>
      <c r="CN127" s="36">
        <v>62.5</v>
      </c>
      <c r="CO127" s="52" t="s">
        <v>0</v>
      </c>
    </row>
    <row r="128" spans="91:93" ht="39.950000000000003" hidden="1" customHeight="1" x14ac:dyDescent="0.25">
      <c r="CM128" s="31">
        <v>126</v>
      </c>
      <c r="CN128" s="36">
        <v>63</v>
      </c>
      <c r="CO128" s="52" t="s">
        <v>0</v>
      </c>
    </row>
    <row r="129" spans="91:93" ht="39.950000000000003" hidden="1" customHeight="1" x14ac:dyDescent="0.25">
      <c r="CM129" s="31">
        <v>127</v>
      </c>
      <c r="CN129" s="36">
        <v>63.5</v>
      </c>
      <c r="CO129" s="52" t="s">
        <v>0</v>
      </c>
    </row>
    <row r="130" spans="91:93" ht="39.950000000000003" hidden="1" customHeight="1" x14ac:dyDescent="0.25">
      <c r="CM130" s="31">
        <v>128</v>
      </c>
      <c r="CN130" s="36">
        <v>64</v>
      </c>
      <c r="CO130" s="52" t="s">
        <v>0</v>
      </c>
    </row>
    <row r="131" spans="91:93" ht="39.950000000000003" hidden="1" customHeight="1" x14ac:dyDescent="0.25">
      <c r="CM131" s="31">
        <v>129</v>
      </c>
      <c r="CN131" s="36">
        <v>64.5</v>
      </c>
      <c r="CO131" s="52" t="s">
        <v>0</v>
      </c>
    </row>
    <row r="132" spans="91:93" ht="39.950000000000003" hidden="1" customHeight="1" x14ac:dyDescent="0.25">
      <c r="CM132" s="31">
        <v>130</v>
      </c>
      <c r="CN132" s="36">
        <v>65</v>
      </c>
      <c r="CO132" s="52" t="s">
        <v>0</v>
      </c>
    </row>
    <row r="133" spans="91:93" ht="39.950000000000003" hidden="1" customHeight="1" x14ac:dyDescent="0.25">
      <c r="CM133" s="31">
        <v>131</v>
      </c>
      <c r="CN133" s="36">
        <v>65.5</v>
      </c>
      <c r="CO133" s="52" t="s">
        <v>0</v>
      </c>
    </row>
    <row r="134" spans="91:93" ht="39.950000000000003" hidden="1" customHeight="1" x14ac:dyDescent="0.25">
      <c r="CM134" s="31">
        <v>132</v>
      </c>
      <c r="CN134" s="36">
        <v>66</v>
      </c>
      <c r="CO134" s="52" t="s">
        <v>0</v>
      </c>
    </row>
    <row r="135" spans="91:93" ht="39.950000000000003" hidden="1" customHeight="1" x14ac:dyDescent="0.25">
      <c r="CM135" s="31">
        <v>133</v>
      </c>
      <c r="CN135" s="36">
        <v>66.5</v>
      </c>
      <c r="CO135" s="52" t="s">
        <v>0</v>
      </c>
    </row>
    <row r="136" spans="91:93" ht="39.950000000000003" hidden="1" customHeight="1" x14ac:dyDescent="0.25">
      <c r="CM136" s="31">
        <v>134</v>
      </c>
      <c r="CN136" s="36">
        <v>67</v>
      </c>
      <c r="CO136" s="52" t="s">
        <v>0</v>
      </c>
    </row>
    <row r="137" spans="91:93" ht="39.950000000000003" hidden="1" customHeight="1" x14ac:dyDescent="0.25">
      <c r="CM137" s="31">
        <v>135</v>
      </c>
      <c r="CN137" s="36">
        <v>67.5</v>
      </c>
      <c r="CO137" s="52" t="s">
        <v>0</v>
      </c>
    </row>
    <row r="138" spans="91:93" ht="39.950000000000003" hidden="1" customHeight="1" x14ac:dyDescent="0.25">
      <c r="CM138" s="31">
        <v>136</v>
      </c>
      <c r="CN138" s="36">
        <v>68</v>
      </c>
      <c r="CO138" s="52" t="s">
        <v>0</v>
      </c>
    </row>
    <row r="139" spans="91:93" ht="39.950000000000003" hidden="1" customHeight="1" x14ac:dyDescent="0.25">
      <c r="CM139" s="31">
        <v>137</v>
      </c>
      <c r="CN139" s="36">
        <v>68.5</v>
      </c>
      <c r="CO139" s="52" t="s">
        <v>0</v>
      </c>
    </row>
    <row r="140" spans="91:93" ht="39.950000000000003" hidden="1" customHeight="1" x14ac:dyDescent="0.25">
      <c r="CM140" s="31">
        <v>138</v>
      </c>
      <c r="CN140" s="36">
        <v>69</v>
      </c>
      <c r="CO140" s="52" t="s">
        <v>0</v>
      </c>
    </row>
    <row r="141" spans="91:93" ht="39.950000000000003" hidden="1" customHeight="1" x14ac:dyDescent="0.25">
      <c r="CM141" s="31">
        <v>139</v>
      </c>
      <c r="CN141" s="36">
        <v>69.5</v>
      </c>
      <c r="CO141" s="52" t="s">
        <v>0</v>
      </c>
    </row>
    <row r="142" spans="91:93" ht="39.950000000000003" hidden="1" customHeight="1" x14ac:dyDescent="0.25">
      <c r="CM142" s="31">
        <v>140</v>
      </c>
      <c r="CN142" s="36">
        <v>70</v>
      </c>
      <c r="CO142" s="52" t="s">
        <v>0</v>
      </c>
    </row>
    <row r="143" spans="91:93" ht="39.950000000000003" hidden="1" customHeight="1" x14ac:dyDescent="0.25">
      <c r="CM143" s="31">
        <v>141</v>
      </c>
      <c r="CN143" s="36">
        <v>70.5</v>
      </c>
      <c r="CO143" s="52" t="s">
        <v>0</v>
      </c>
    </row>
    <row r="144" spans="91:93" ht="39.950000000000003" hidden="1" customHeight="1" x14ac:dyDescent="0.25">
      <c r="CM144" s="31">
        <v>142</v>
      </c>
      <c r="CN144" s="36">
        <v>71</v>
      </c>
      <c r="CO144" s="52" t="s">
        <v>0</v>
      </c>
    </row>
    <row r="145" spans="91:93" ht="39.950000000000003" hidden="1" customHeight="1" x14ac:dyDescent="0.25">
      <c r="CM145" s="31">
        <v>143</v>
      </c>
      <c r="CN145" s="36">
        <v>71.5</v>
      </c>
      <c r="CO145" s="52" t="s">
        <v>0</v>
      </c>
    </row>
    <row r="146" spans="91:93" ht="39.950000000000003" hidden="1" customHeight="1" x14ac:dyDescent="0.25">
      <c r="CM146" s="31">
        <v>144</v>
      </c>
      <c r="CN146" s="36">
        <v>72</v>
      </c>
      <c r="CO146" s="52" t="s">
        <v>0</v>
      </c>
    </row>
    <row r="147" spans="91:93" ht="39.950000000000003" hidden="1" customHeight="1" x14ac:dyDescent="0.25">
      <c r="CM147" s="31">
        <v>145</v>
      </c>
      <c r="CN147" s="36">
        <v>72.5</v>
      </c>
      <c r="CO147" s="52" t="s">
        <v>0</v>
      </c>
    </row>
    <row r="148" spans="91:93" ht="39.950000000000003" hidden="1" customHeight="1" x14ac:dyDescent="0.25">
      <c r="CM148" s="31">
        <v>146</v>
      </c>
      <c r="CN148" s="36">
        <v>73</v>
      </c>
      <c r="CO148" s="52" t="s">
        <v>0</v>
      </c>
    </row>
    <row r="149" spans="91:93" ht="39.950000000000003" hidden="1" customHeight="1" x14ac:dyDescent="0.25">
      <c r="CM149" s="31">
        <v>147</v>
      </c>
      <c r="CN149" s="36">
        <v>73.5</v>
      </c>
      <c r="CO149" s="52" t="s">
        <v>0</v>
      </c>
    </row>
    <row r="150" spans="91:93" ht="39.950000000000003" hidden="1" customHeight="1" x14ac:dyDescent="0.25">
      <c r="CM150" s="31">
        <v>148</v>
      </c>
      <c r="CN150" s="36">
        <v>74</v>
      </c>
      <c r="CO150" s="52" t="s">
        <v>0</v>
      </c>
    </row>
    <row r="151" spans="91:93" ht="39.950000000000003" hidden="1" customHeight="1" x14ac:dyDescent="0.25">
      <c r="CM151" s="31">
        <v>149</v>
      </c>
      <c r="CN151" s="36">
        <v>74.5</v>
      </c>
      <c r="CO151" s="52" t="s">
        <v>0</v>
      </c>
    </row>
    <row r="152" spans="91:93" ht="39.950000000000003" hidden="1" customHeight="1" x14ac:dyDescent="0.25">
      <c r="CM152" s="31">
        <v>150</v>
      </c>
      <c r="CN152" s="36">
        <v>75</v>
      </c>
      <c r="CO152" s="52" t="s">
        <v>0</v>
      </c>
    </row>
    <row r="153" spans="91:93" ht="39.950000000000003" hidden="1" customHeight="1" x14ac:dyDescent="0.25">
      <c r="CM153" s="31">
        <v>151</v>
      </c>
      <c r="CN153" s="36">
        <v>75.5</v>
      </c>
      <c r="CO153" s="52" t="s">
        <v>0</v>
      </c>
    </row>
    <row r="154" spans="91:93" ht="39.950000000000003" hidden="1" customHeight="1" x14ac:dyDescent="0.25">
      <c r="CM154" s="31">
        <v>152</v>
      </c>
      <c r="CN154" s="36">
        <v>76</v>
      </c>
      <c r="CO154" s="52" t="s">
        <v>0</v>
      </c>
    </row>
    <row r="155" spans="91:93" ht="39.950000000000003" hidden="1" customHeight="1" x14ac:dyDescent="0.25">
      <c r="CM155" s="31">
        <v>153</v>
      </c>
      <c r="CN155" s="36">
        <v>76.5</v>
      </c>
      <c r="CO155" s="52" t="s">
        <v>0</v>
      </c>
    </row>
    <row r="156" spans="91:93" ht="39.950000000000003" hidden="1" customHeight="1" x14ac:dyDescent="0.25">
      <c r="CM156" s="31">
        <v>154</v>
      </c>
      <c r="CN156" s="36">
        <v>77</v>
      </c>
      <c r="CO156" s="52" t="s">
        <v>0</v>
      </c>
    </row>
    <row r="157" spans="91:93" ht="39.950000000000003" hidden="1" customHeight="1" x14ac:dyDescent="0.25">
      <c r="CM157" s="31">
        <v>155</v>
      </c>
      <c r="CN157" s="36">
        <v>77.5</v>
      </c>
      <c r="CO157" s="52" t="s">
        <v>0</v>
      </c>
    </row>
    <row r="158" spans="91:93" ht="39.950000000000003" hidden="1" customHeight="1" x14ac:dyDescent="0.25">
      <c r="CM158" s="31">
        <v>156</v>
      </c>
      <c r="CN158" s="36">
        <v>78</v>
      </c>
      <c r="CO158" s="52" t="s">
        <v>0</v>
      </c>
    </row>
    <row r="159" spans="91:93" ht="39.950000000000003" hidden="1" customHeight="1" x14ac:dyDescent="0.25">
      <c r="CM159" s="31">
        <v>157</v>
      </c>
      <c r="CN159" s="36">
        <v>78.5</v>
      </c>
      <c r="CO159" s="52" t="s">
        <v>0</v>
      </c>
    </row>
    <row r="160" spans="91:93" ht="39.950000000000003" hidden="1" customHeight="1" x14ac:dyDescent="0.25">
      <c r="CM160" s="31">
        <v>158</v>
      </c>
      <c r="CN160" s="36">
        <v>79</v>
      </c>
      <c r="CO160" s="52" t="s">
        <v>0</v>
      </c>
    </row>
    <row r="161" spans="91:93" ht="39.950000000000003" hidden="1" customHeight="1" x14ac:dyDescent="0.25">
      <c r="CM161" s="31">
        <v>159</v>
      </c>
      <c r="CN161" s="36">
        <v>79.5</v>
      </c>
      <c r="CO161" s="52" t="s">
        <v>0</v>
      </c>
    </row>
    <row r="162" spans="91:93" ht="39.950000000000003" hidden="1" customHeight="1" x14ac:dyDescent="0.25">
      <c r="CM162" s="31">
        <v>160</v>
      </c>
      <c r="CN162" s="36">
        <v>80</v>
      </c>
      <c r="CO162" s="52" t="s">
        <v>0</v>
      </c>
    </row>
    <row r="163" spans="91:93" ht="39.950000000000003" hidden="1" customHeight="1" x14ac:dyDescent="0.25">
      <c r="CM163" s="31">
        <v>161</v>
      </c>
      <c r="CN163" s="36">
        <v>80.5</v>
      </c>
      <c r="CO163" s="52" t="s">
        <v>0</v>
      </c>
    </row>
    <row r="164" spans="91:93" ht="39.950000000000003" hidden="1" customHeight="1" x14ac:dyDescent="0.25">
      <c r="CM164" s="31">
        <v>162</v>
      </c>
      <c r="CN164" s="36">
        <v>81</v>
      </c>
      <c r="CO164" s="52" t="s">
        <v>0</v>
      </c>
    </row>
    <row r="165" spans="91:93" ht="39.950000000000003" hidden="1" customHeight="1" x14ac:dyDescent="0.25">
      <c r="CM165" s="31">
        <v>163</v>
      </c>
      <c r="CN165" s="36">
        <v>81.5</v>
      </c>
      <c r="CO165" s="52" t="s">
        <v>0</v>
      </c>
    </row>
    <row r="166" spans="91:93" ht="39.950000000000003" hidden="1" customHeight="1" x14ac:dyDescent="0.25">
      <c r="CM166" s="31">
        <v>164</v>
      </c>
      <c r="CN166" s="36">
        <v>82</v>
      </c>
      <c r="CO166" s="52" t="s">
        <v>0</v>
      </c>
    </row>
    <row r="167" spans="91:93" ht="39.950000000000003" hidden="1" customHeight="1" x14ac:dyDescent="0.25">
      <c r="CM167" s="31">
        <v>165</v>
      </c>
      <c r="CN167" s="36">
        <v>82.5</v>
      </c>
      <c r="CO167" s="52" t="s">
        <v>0</v>
      </c>
    </row>
    <row r="168" spans="91:93" ht="39.950000000000003" hidden="1" customHeight="1" x14ac:dyDescent="0.25">
      <c r="CM168" s="31">
        <v>166</v>
      </c>
      <c r="CN168" s="36">
        <v>83</v>
      </c>
      <c r="CO168" s="52" t="s">
        <v>0</v>
      </c>
    </row>
    <row r="169" spans="91:93" ht="39.950000000000003" hidden="1" customHeight="1" x14ac:dyDescent="0.25">
      <c r="CM169" s="31">
        <v>167</v>
      </c>
      <c r="CN169" s="36">
        <v>83.5</v>
      </c>
      <c r="CO169" s="52" t="s">
        <v>0</v>
      </c>
    </row>
    <row r="170" spans="91:93" ht="39.950000000000003" hidden="1" customHeight="1" x14ac:dyDescent="0.25">
      <c r="CM170" s="31">
        <v>168</v>
      </c>
      <c r="CN170" s="36">
        <v>84</v>
      </c>
      <c r="CO170" s="52" t="s">
        <v>0</v>
      </c>
    </row>
    <row r="171" spans="91:93" ht="39.950000000000003" hidden="1" customHeight="1" x14ac:dyDescent="0.25">
      <c r="CM171" s="31">
        <v>169</v>
      </c>
      <c r="CN171" s="36">
        <v>84.5</v>
      </c>
      <c r="CO171" s="52" t="s">
        <v>0</v>
      </c>
    </row>
    <row r="172" spans="91:93" ht="39.950000000000003" hidden="1" customHeight="1" x14ac:dyDescent="0.25">
      <c r="CM172" s="31">
        <v>170</v>
      </c>
      <c r="CN172" s="36">
        <v>85</v>
      </c>
      <c r="CO172" s="52" t="s">
        <v>0</v>
      </c>
    </row>
    <row r="173" spans="91:93" ht="39.950000000000003" hidden="1" customHeight="1" x14ac:dyDescent="0.25">
      <c r="CM173" s="31">
        <v>171</v>
      </c>
      <c r="CN173" s="36">
        <v>85.5</v>
      </c>
      <c r="CO173" s="52" t="s">
        <v>0</v>
      </c>
    </row>
    <row r="174" spans="91:93" ht="39.950000000000003" hidden="1" customHeight="1" x14ac:dyDescent="0.25">
      <c r="CM174" s="31">
        <v>172</v>
      </c>
      <c r="CN174" s="36">
        <v>86</v>
      </c>
      <c r="CO174" s="52" t="s">
        <v>0</v>
      </c>
    </row>
    <row r="175" spans="91:93" ht="39.950000000000003" hidden="1" customHeight="1" x14ac:dyDescent="0.25">
      <c r="CM175" s="31">
        <v>173</v>
      </c>
      <c r="CN175" s="36">
        <v>86.5</v>
      </c>
      <c r="CO175" s="52" t="s">
        <v>0</v>
      </c>
    </row>
    <row r="176" spans="91:93" ht="39.950000000000003" hidden="1" customHeight="1" x14ac:dyDescent="0.25">
      <c r="CM176" s="31">
        <v>174</v>
      </c>
      <c r="CN176" s="36">
        <v>87</v>
      </c>
      <c r="CO176" s="52" t="s">
        <v>0</v>
      </c>
    </row>
    <row r="177" spans="91:93" ht="39.950000000000003" hidden="1" customHeight="1" x14ac:dyDescent="0.25">
      <c r="CM177" s="31">
        <v>175</v>
      </c>
      <c r="CN177" s="36">
        <v>87.5</v>
      </c>
      <c r="CO177" s="52" t="s">
        <v>0</v>
      </c>
    </row>
    <row r="178" spans="91:93" ht="39.950000000000003" hidden="1" customHeight="1" x14ac:dyDescent="0.25">
      <c r="CM178" s="31">
        <v>176</v>
      </c>
      <c r="CN178" s="36">
        <v>88</v>
      </c>
      <c r="CO178" s="52" t="s">
        <v>0</v>
      </c>
    </row>
    <row r="179" spans="91:93" ht="39.950000000000003" hidden="1" customHeight="1" x14ac:dyDescent="0.25">
      <c r="CM179" s="31">
        <v>177</v>
      </c>
      <c r="CN179" s="36">
        <v>88.5</v>
      </c>
      <c r="CO179" s="52" t="s">
        <v>0</v>
      </c>
    </row>
    <row r="180" spans="91:93" ht="39.950000000000003" hidden="1" customHeight="1" x14ac:dyDescent="0.25">
      <c r="CM180" s="31">
        <v>178</v>
      </c>
      <c r="CN180" s="36">
        <v>89</v>
      </c>
      <c r="CO180" s="52" t="s">
        <v>0</v>
      </c>
    </row>
    <row r="181" spans="91:93" ht="39.950000000000003" hidden="1" customHeight="1" x14ac:dyDescent="0.25">
      <c r="CM181" s="31">
        <v>179</v>
      </c>
      <c r="CN181" s="36">
        <v>89.5</v>
      </c>
      <c r="CO181" s="52" t="s">
        <v>0</v>
      </c>
    </row>
    <row r="182" spans="91:93" ht="39.950000000000003" hidden="1" customHeight="1" x14ac:dyDescent="0.25">
      <c r="CM182" s="31">
        <v>180</v>
      </c>
      <c r="CN182" s="36">
        <v>90</v>
      </c>
      <c r="CO182" s="52" t="s">
        <v>0</v>
      </c>
    </row>
    <row r="183" spans="91:93" ht="39.950000000000003" hidden="1" customHeight="1" x14ac:dyDescent="0.25">
      <c r="CM183" s="31">
        <v>181</v>
      </c>
      <c r="CN183" s="36">
        <v>90.5</v>
      </c>
      <c r="CO183" s="52" t="s">
        <v>0</v>
      </c>
    </row>
    <row r="184" spans="91:93" ht="39.950000000000003" hidden="1" customHeight="1" x14ac:dyDescent="0.25">
      <c r="CM184" s="31">
        <v>182</v>
      </c>
      <c r="CN184" s="36">
        <v>91</v>
      </c>
      <c r="CO184" s="52" t="s">
        <v>0</v>
      </c>
    </row>
    <row r="185" spans="91:93" ht="39.950000000000003" hidden="1" customHeight="1" x14ac:dyDescent="0.25">
      <c r="CM185" s="31">
        <v>183</v>
      </c>
      <c r="CN185" s="36">
        <v>91.5</v>
      </c>
      <c r="CO185" s="52" t="s">
        <v>0</v>
      </c>
    </row>
    <row r="186" spans="91:93" ht="39.950000000000003" hidden="1" customHeight="1" x14ac:dyDescent="0.25">
      <c r="CM186" s="31">
        <v>184</v>
      </c>
      <c r="CN186" s="36">
        <v>92</v>
      </c>
      <c r="CO186" s="52" t="s">
        <v>0</v>
      </c>
    </row>
    <row r="187" spans="91:93" ht="39.950000000000003" hidden="1" customHeight="1" x14ac:dyDescent="0.25">
      <c r="CM187" s="31">
        <v>185</v>
      </c>
      <c r="CN187" s="36">
        <v>92.5</v>
      </c>
      <c r="CO187" s="52" t="s">
        <v>0</v>
      </c>
    </row>
    <row r="188" spans="91:93" ht="39.950000000000003" hidden="1" customHeight="1" x14ac:dyDescent="0.25">
      <c r="CM188" s="31">
        <v>186</v>
      </c>
      <c r="CN188" s="36">
        <v>93</v>
      </c>
      <c r="CO188" s="52" t="s">
        <v>0</v>
      </c>
    </row>
    <row r="189" spans="91:93" ht="39.950000000000003" hidden="1" customHeight="1" x14ac:dyDescent="0.25">
      <c r="CM189" s="31">
        <v>187</v>
      </c>
      <c r="CN189" s="36">
        <v>93.5</v>
      </c>
      <c r="CO189" s="52" t="s">
        <v>0</v>
      </c>
    </row>
    <row r="190" spans="91:93" ht="39.950000000000003" hidden="1" customHeight="1" x14ac:dyDescent="0.25">
      <c r="CM190" s="31">
        <v>188</v>
      </c>
      <c r="CN190" s="36">
        <v>94</v>
      </c>
      <c r="CO190" s="52" t="s">
        <v>0</v>
      </c>
    </row>
    <row r="191" spans="91:93" ht="39.950000000000003" hidden="1" customHeight="1" x14ac:dyDescent="0.25">
      <c r="CM191" s="31">
        <v>189</v>
      </c>
      <c r="CN191" s="36">
        <v>94.5</v>
      </c>
      <c r="CO191" s="52" t="s">
        <v>0</v>
      </c>
    </row>
    <row r="192" spans="91:93" ht="39.950000000000003" hidden="1" customHeight="1" x14ac:dyDescent="0.25">
      <c r="CM192" s="31">
        <v>190</v>
      </c>
      <c r="CN192" s="36">
        <v>95</v>
      </c>
      <c r="CO192" s="52" t="s">
        <v>0</v>
      </c>
    </row>
    <row r="193" spans="91:93" ht="39.950000000000003" hidden="1" customHeight="1" x14ac:dyDescent="0.25">
      <c r="CM193" s="31">
        <v>191</v>
      </c>
      <c r="CN193" s="36">
        <v>95.5</v>
      </c>
      <c r="CO193" s="52" t="s">
        <v>0</v>
      </c>
    </row>
    <row r="194" spans="91:93" ht="39.950000000000003" hidden="1" customHeight="1" x14ac:dyDescent="0.25">
      <c r="CM194" s="31">
        <v>192</v>
      </c>
      <c r="CN194" s="36">
        <v>96</v>
      </c>
      <c r="CO194" s="52" t="s">
        <v>0</v>
      </c>
    </row>
    <row r="195" spans="91:93" ht="39.950000000000003" hidden="1" customHeight="1" x14ac:dyDescent="0.25">
      <c r="CM195" s="31">
        <v>193</v>
      </c>
      <c r="CN195" s="36">
        <v>96.5</v>
      </c>
      <c r="CO195" s="52" t="s">
        <v>0</v>
      </c>
    </row>
    <row r="196" spans="91:93" ht="39.950000000000003" hidden="1" customHeight="1" x14ac:dyDescent="0.25">
      <c r="CM196" s="31">
        <v>194</v>
      </c>
      <c r="CN196" s="36">
        <v>97</v>
      </c>
      <c r="CO196" s="52" t="s">
        <v>0</v>
      </c>
    </row>
    <row r="197" spans="91:93" ht="39.950000000000003" hidden="1" customHeight="1" x14ac:dyDescent="0.25">
      <c r="CM197" s="31">
        <v>195</v>
      </c>
      <c r="CN197" s="36">
        <v>97.5</v>
      </c>
      <c r="CO197" s="52" t="s">
        <v>0</v>
      </c>
    </row>
    <row r="198" spans="91:93" ht="39.950000000000003" hidden="1" customHeight="1" x14ac:dyDescent="0.25">
      <c r="CM198" s="31">
        <v>196</v>
      </c>
      <c r="CN198" s="36">
        <v>98</v>
      </c>
      <c r="CO198" s="52" t="s">
        <v>0</v>
      </c>
    </row>
    <row r="199" spans="91:93" ht="39.950000000000003" hidden="1" customHeight="1" x14ac:dyDescent="0.25">
      <c r="CM199" s="31">
        <v>197</v>
      </c>
      <c r="CN199" s="36">
        <v>98.5</v>
      </c>
      <c r="CO199" s="52" t="s">
        <v>0</v>
      </c>
    </row>
    <row r="200" spans="91:93" ht="39.950000000000003" hidden="1" customHeight="1" x14ac:dyDescent="0.25">
      <c r="CM200" s="31">
        <v>198</v>
      </c>
      <c r="CN200" s="36">
        <v>99</v>
      </c>
      <c r="CO200" s="52" t="s">
        <v>0</v>
      </c>
    </row>
    <row r="201" spans="91:93" ht="39.950000000000003" hidden="1" customHeight="1" x14ac:dyDescent="0.25">
      <c r="CM201" s="31">
        <v>199</v>
      </c>
      <c r="CN201" s="36">
        <v>99.5</v>
      </c>
      <c r="CO201" s="52" t="s">
        <v>0</v>
      </c>
    </row>
    <row r="202" spans="91:93" ht="39.950000000000003" hidden="1" customHeight="1" x14ac:dyDescent="0.25">
      <c r="CM202" s="31">
        <v>200</v>
      </c>
      <c r="CN202" s="36">
        <v>100</v>
      </c>
      <c r="CO202" s="52" t="s">
        <v>0</v>
      </c>
    </row>
    <row r="203" spans="91:93" ht="39.950000000000003" hidden="1" customHeight="1" x14ac:dyDescent="0.25">
      <c r="CM203" s="31">
        <v>201</v>
      </c>
      <c r="CN203" s="36">
        <v>100.5</v>
      </c>
      <c r="CO203" s="52" t="s">
        <v>0</v>
      </c>
    </row>
    <row r="204" spans="91:93" ht="39.950000000000003" hidden="1" customHeight="1" x14ac:dyDescent="0.25">
      <c r="CM204" s="31">
        <v>202</v>
      </c>
      <c r="CN204" s="36">
        <v>101</v>
      </c>
      <c r="CO204" s="52" t="s">
        <v>0</v>
      </c>
    </row>
    <row r="205" spans="91:93" ht="39.950000000000003" hidden="1" customHeight="1" x14ac:dyDescent="0.25">
      <c r="CM205" s="31">
        <v>203</v>
      </c>
      <c r="CN205" s="36">
        <v>101.5</v>
      </c>
      <c r="CO205" s="52" t="s">
        <v>0</v>
      </c>
    </row>
    <row r="206" spans="91:93" ht="39.950000000000003" hidden="1" customHeight="1" x14ac:dyDescent="0.25">
      <c r="CM206" s="31">
        <v>204</v>
      </c>
      <c r="CN206" s="36">
        <v>102</v>
      </c>
      <c r="CO206" s="52" t="s">
        <v>0</v>
      </c>
    </row>
    <row r="207" spans="91:93" ht="39.950000000000003" hidden="1" customHeight="1" x14ac:dyDescent="0.25">
      <c r="CM207" s="31">
        <v>205</v>
      </c>
      <c r="CN207" s="36">
        <v>102.5</v>
      </c>
      <c r="CO207" s="52" t="s">
        <v>0</v>
      </c>
    </row>
    <row r="208" spans="91:93" ht="39.950000000000003" hidden="1" customHeight="1" x14ac:dyDescent="0.25">
      <c r="CM208" s="31">
        <v>206</v>
      </c>
      <c r="CN208" s="36">
        <v>103</v>
      </c>
      <c r="CO208" s="52" t="s">
        <v>0</v>
      </c>
    </row>
    <row r="209" spans="91:93" ht="39.950000000000003" hidden="1" customHeight="1" x14ac:dyDescent="0.25">
      <c r="CM209" s="31">
        <v>207</v>
      </c>
      <c r="CN209" s="36">
        <v>103.5</v>
      </c>
      <c r="CO209" s="52" t="s">
        <v>0</v>
      </c>
    </row>
    <row r="210" spans="91:93" ht="39.950000000000003" hidden="1" customHeight="1" x14ac:dyDescent="0.25">
      <c r="CM210" s="31">
        <v>208</v>
      </c>
      <c r="CN210" s="36">
        <v>104</v>
      </c>
      <c r="CO210" s="52" t="s">
        <v>0</v>
      </c>
    </row>
    <row r="211" spans="91:93" ht="39.950000000000003" hidden="1" customHeight="1" x14ac:dyDescent="0.25">
      <c r="CM211" s="31">
        <v>209</v>
      </c>
      <c r="CN211" s="36">
        <v>104.5</v>
      </c>
      <c r="CO211" s="52" t="s">
        <v>0</v>
      </c>
    </row>
    <row r="212" spans="91:93" ht="39.950000000000003" hidden="1" customHeight="1" x14ac:dyDescent="0.25">
      <c r="CM212" s="31">
        <v>210</v>
      </c>
      <c r="CN212" s="36">
        <v>105</v>
      </c>
      <c r="CO212" s="52" t="s">
        <v>0</v>
      </c>
    </row>
    <row r="213" spans="91:93" ht="39.950000000000003" hidden="1" customHeight="1" x14ac:dyDescent="0.25">
      <c r="CM213" s="31">
        <v>211</v>
      </c>
      <c r="CN213" s="36">
        <v>105.5</v>
      </c>
      <c r="CO213" s="52" t="s">
        <v>0</v>
      </c>
    </row>
    <row r="214" spans="91:93" ht="39.950000000000003" hidden="1" customHeight="1" x14ac:dyDescent="0.25">
      <c r="CM214" s="31">
        <v>212</v>
      </c>
      <c r="CN214" s="36">
        <v>106</v>
      </c>
      <c r="CO214" s="52" t="s">
        <v>0</v>
      </c>
    </row>
    <row r="215" spans="91:93" ht="39.950000000000003" hidden="1" customHeight="1" x14ac:dyDescent="0.25">
      <c r="CM215" s="31">
        <v>213</v>
      </c>
      <c r="CN215" s="36">
        <v>106.5</v>
      </c>
      <c r="CO215" s="52" t="s">
        <v>0</v>
      </c>
    </row>
    <row r="216" spans="91:93" ht="39.950000000000003" hidden="1" customHeight="1" x14ac:dyDescent="0.25">
      <c r="CM216" s="31">
        <v>214</v>
      </c>
      <c r="CN216" s="36">
        <v>107</v>
      </c>
      <c r="CO216" s="52" t="s">
        <v>0</v>
      </c>
    </row>
    <row r="217" spans="91:93" ht="39.950000000000003" hidden="1" customHeight="1" x14ac:dyDescent="0.25">
      <c r="CM217" s="31">
        <v>215</v>
      </c>
      <c r="CN217" s="36">
        <v>107.5</v>
      </c>
      <c r="CO217" s="52" t="s">
        <v>0</v>
      </c>
    </row>
    <row r="218" spans="91:93" ht="39.950000000000003" hidden="1" customHeight="1" x14ac:dyDescent="0.25">
      <c r="CM218" s="31">
        <v>216</v>
      </c>
      <c r="CN218" s="36">
        <v>108</v>
      </c>
      <c r="CO218" s="52" t="s">
        <v>0</v>
      </c>
    </row>
    <row r="219" spans="91:93" ht="39.950000000000003" hidden="1" customHeight="1" x14ac:dyDescent="0.25">
      <c r="CM219" s="31">
        <v>217</v>
      </c>
      <c r="CN219" s="36">
        <v>108.5</v>
      </c>
      <c r="CO219" s="52" t="s">
        <v>0</v>
      </c>
    </row>
    <row r="220" spans="91:93" ht="39.950000000000003" hidden="1" customHeight="1" x14ac:dyDescent="0.25">
      <c r="CM220" s="31">
        <v>218</v>
      </c>
      <c r="CN220" s="36">
        <v>109</v>
      </c>
      <c r="CO220" s="52" t="s">
        <v>0</v>
      </c>
    </row>
    <row r="221" spans="91:93" ht="39.950000000000003" hidden="1" customHeight="1" x14ac:dyDescent="0.25">
      <c r="CM221" s="31">
        <v>219</v>
      </c>
      <c r="CN221" s="36">
        <v>109.5</v>
      </c>
      <c r="CO221" s="52" t="s">
        <v>0</v>
      </c>
    </row>
    <row r="222" spans="91:93" ht="39.950000000000003" hidden="1" customHeight="1" x14ac:dyDescent="0.25">
      <c r="CM222" s="31">
        <v>220</v>
      </c>
      <c r="CN222" s="36">
        <v>110</v>
      </c>
      <c r="CO222" s="52" t="s">
        <v>0</v>
      </c>
    </row>
    <row r="223" spans="91:93" ht="39.950000000000003" hidden="1" customHeight="1" x14ac:dyDescent="0.25">
      <c r="CM223" s="31">
        <v>221</v>
      </c>
      <c r="CN223" s="36">
        <v>110.5</v>
      </c>
      <c r="CO223" s="52" t="s">
        <v>0</v>
      </c>
    </row>
    <row r="224" spans="91:93" ht="39.950000000000003" hidden="1" customHeight="1" x14ac:dyDescent="0.25">
      <c r="CM224" s="31">
        <v>222</v>
      </c>
      <c r="CN224" s="36">
        <v>111</v>
      </c>
      <c r="CO224" s="52" t="s">
        <v>0</v>
      </c>
    </row>
    <row r="225" spans="91:93" ht="39.950000000000003" hidden="1" customHeight="1" x14ac:dyDescent="0.25">
      <c r="CM225" s="31">
        <v>223</v>
      </c>
      <c r="CN225" s="36">
        <v>111.5</v>
      </c>
      <c r="CO225" s="52" t="s">
        <v>0</v>
      </c>
    </row>
    <row r="226" spans="91:93" ht="39.950000000000003" hidden="1" customHeight="1" x14ac:dyDescent="0.25">
      <c r="CM226" s="31">
        <v>224</v>
      </c>
      <c r="CN226" s="36">
        <v>112</v>
      </c>
      <c r="CO226" s="52" t="s">
        <v>0</v>
      </c>
    </row>
    <row r="227" spans="91:93" ht="39.950000000000003" hidden="1" customHeight="1" x14ac:dyDescent="0.25">
      <c r="CM227" s="31">
        <v>225</v>
      </c>
      <c r="CN227" s="36">
        <v>112.5</v>
      </c>
      <c r="CO227" s="52" t="s">
        <v>0</v>
      </c>
    </row>
    <row r="228" spans="91:93" ht="39.950000000000003" hidden="1" customHeight="1" x14ac:dyDescent="0.25">
      <c r="CM228" s="31">
        <v>226</v>
      </c>
      <c r="CN228" s="36">
        <v>113</v>
      </c>
      <c r="CO228" s="52" t="s">
        <v>0</v>
      </c>
    </row>
    <row r="229" spans="91:93" ht="39.950000000000003" hidden="1" customHeight="1" x14ac:dyDescent="0.25">
      <c r="CM229" s="31">
        <v>227</v>
      </c>
      <c r="CN229" s="36">
        <v>113.5</v>
      </c>
      <c r="CO229" s="52" t="s">
        <v>0</v>
      </c>
    </row>
    <row r="230" spans="91:93" ht="39.950000000000003" hidden="1" customHeight="1" x14ac:dyDescent="0.25">
      <c r="CM230" s="31">
        <v>228</v>
      </c>
      <c r="CN230" s="36">
        <v>114</v>
      </c>
      <c r="CO230" s="52" t="s">
        <v>0</v>
      </c>
    </row>
    <row r="231" spans="91:93" ht="39.950000000000003" hidden="1" customHeight="1" x14ac:dyDescent="0.25">
      <c r="CM231" s="31">
        <v>229</v>
      </c>
      <c r="CN231" s="36">
        <v>114.5</v>
      </c>
      <c r="CO231" s="52" t="s">
        <v>0</v>
      </c>
    </row>
    <row r="232" spans="91:93" ht="39.950000000000003" hidden="1" customHeight="1" x14ac:dyDescent="0.25">
      <c r="CM232" s="31">
        <v>230</v>
      </c>
      <c r="CN232" s="36">
        <v>115</v>
      </c>
      <c r="CO232" s="52" t="s">
        <v>0</v>
      </c>
    </row>
    <row r="233" spans="91:93" ht="39.950000000000003" hidden="1" customHeight="1" x14ac:dyDescent="0.25">
      <c r="CM233" s="31">
        <v>231</v>
      </c>
      <c r="CN233" s="36">
        <v>115.5</v>
      </c>
      <c r="CO233" s="52" t="s">
        <v>0</v>
      </c>
    </row>
    <row r="234" spans="91:93" ht="39.950000000000003" hidden="1" customHeight="1" x14ac:dyDescent="0.25">
      <c r="CM234" s="31">
        <v>232</v>
      </c>
      <c r="CN234" s="36">
        <v>116</v>
      </c>
      <c r="CO234" s="52" t="s">
        <v>0</v>
      </c>
    </row>
    <row r="235" spans="91:93" ht="39.950000000000003" hidden="1" customHeight="1" x14ac:dyDescent="0.25">
      <c r="CM235" s="31">
        <v>233</v>
      </c>
      <c r="CN235" s="36">
        <v>116.5</v>
      </c>
      <c r="CO235" s="52" t="s">
        <v>0</v>
      </c>
    </row>
    <row r="236" spans="91:93" ht="39.950000000000003" hidden="1" customHeight="1" x14ac:dyDescent="0.25">
      <c r="CM236" s="31">
        <v>234</v>
      </c>
      <c r="CN236" s="36">
        <v>117</v>
      </c>
      <c r="CO236" s="52" t="s">
        <v>0</v>
      </c>
    </row>
    <row r="237" spans="91:93" ht="39.950000000000003" hidden="1" customHeight="1" x14ac:dyDescent="0.25">
      <c r="CM237" s="31">
        <v>235</v>
      </c>
      <c r="CN237" s="36">
        <v>117.5</v>
      </c>
      <c r="CO237" s="52" t="s">
        <v>0</v>
      </c>
    </row>
    <row r="238" spans="91:93" ht="39.950000000000003" hidden="1" customHeight="1" x14ac:dyDescent="0.25">
      <c r="CM238" s="31">
        <v>236</v>
      </c>
      <c r="CN238" s="36">
        <v>118</v>
      </c>
      <c r="CO238" s="52" t="s">
        <v>0</v>
      </c>
    </row>
    <row r="239" spans="91:93" ht="39.950000000000003" hidden="1" customHeight="1" x14ac:dyDescent="0.25">
      <c r="CM239" s="31">
        <v>237</v>
      </c>
      <c r="CN239" s="36">
        <v>118.5</v>
      </c>
      <c r="CO239" s="52" t="s">
        <v>0</v>
      </c>
    </row>
    <row r="240" spans="91:93" ht="39.950000000000003" hidden="1" customHeight="1" x14ac:dyDescent="0.25">
      <c r="CM240" s="31">
        <v>238</v>
      </c>
      <c r="CN240" s="36">
        <v>119</v>
      </c>
      <c r="CO240" s="52" t="s">
        <v>0</v>
      </c>
    </row>
    <row r="241" spans="1:93" ht="39.950000000000003" hidden="1" customHeight="1" x14ac:dyDescent="0.25">
      <c r="CM241" s="31">
        <v>239</v>
      </c>
      <c r="CN241" s="36">
        <v>119.5</v>
      </c>
      <c r="CO241" s="52" t="s">
        <v>0</v>
      </c>
    </row>
    <row r="242" spans="1:93" ht="39.950000000000003" hidden="1" customHeight="1" x14ac:dyDescent="0.25">
      <c r="CM242" s="31">
        <v>240</v>
      </c>
      <c r="CN242" s="36">
        <v>120</v>
      </c>
      <c r="CO242" s="52" t="s">
        <v>0</v>
      </c>
    </row>
    <row r="243" spans="1:93" ht="39.950000000000003" hidden="1" customHeight="1" x14ac:dyDescent="0.25">
      <c r="CM243" s="31">
        <v>241</v>
      </c>
      <c r="CN243" s="36">
        <v>120.5</v>
      </c>
      <c r="CO243" s="52" t="s">
        <v>0</v>
      </c>
    </row>
    <row r="244" spans="1:93" ht="39.950000000000003" hidden="1" customHeight="1" x14ac:dyDescent="0.25">
      <c r="CM244" s="31">
        <v>242</v>
      </c>
      <c r="CN244" s="36">
        <v>121</v>
      </c>
      <c r="CO244" s="52" t="s">
        <v>0</v>
      </c>
    </row>
    <row r="245" spans="1:93" ht="39.950000000000003" hidden="1" customHeight="1" x14ac:dyDescent="0.25">
      <c r="CM245" s="31">
        <v>243</v>
      </c>
      <c r="CN245" s="36">
        <v>121.5</v>
      </c>
      <c r="CO245" s="52" t="s">
        <v>0</v>
      </c>
    </row>
    <row r="246" spans="1:93" ht="39.950000000000003" hidden="1" customHeight="1" x14ac:dyDescent="0.25">
      <c r="CM246" s="31">
        <v>244</v>
      </c>
      <c r="CN246" s="36">
        <v>122</v>
      </c>
      <c r="CO246" s="52" t="s">
        <v>0</v>
      </c>
    </row>
    <row r="247" spans="1:93" ht="39.950000000000003" hidden="1" customHeight="1" x14ac:dyDescent="0.25">
      <c r="CM247" s="31">
        <v>245</v>
      </c>
      <c r="CN247" s="36">
        <v>122.5</v>
      </c>
      <c r="CO247" s="52" t="s">
        <v>0</v>
      </c>
    </row>
    <row r="248" spans="1:93" ht="39.950000000000003" hidden="1" customHeight="1" x14ac:dyDescent="0.25">
      <c r="CM248" s="31">
        <v>246</v>
      </c>
      <c r="CN248" s="36">
        <v>123</v>
      </c>
      <c r="CO248" s="52" t="s">
        <v>0</v>
      </c>
    </row>
    <row r="249" spans="1:93" ht="39.950000000000003" hidden="1" customHeight="1" x14ac:dyDescent="0.25">
      <c r="CM249" s="31">
        <v>247</v>
      </c>
      <c r="CN249" s="36">
        <v>123.5</v>
      </c>
      <c r="CO249" s="52" t="s">
        <v>0</v>
      </c>
    </row>
    <row r="250" spans="1:93" ht="39.950000000000003" hidden="1" customHeight="1" x14ac:dyDescent="0.25">
      <c r="CM250" s="31">
        <v>248</v>
      </c>
      <c r="CN250" s="36">
        <v>124</v>
      </c>
      <c r="CO250" s="52" t="s">
        <v>0</v>
      </c>
    </row>
    <row r="251" spans="1:93" ht="39.950000000000003" hidden="1" customHeight="1" x14ac:dyDescent="0.25">
      <c r="CM251" s="31">
        <v>249</v>
      </c>
      <c r="CN251" s="36">
        <v>124.5</v>
      </c>
      <c r="CO251" s="52" t="s">
        <v>0</v>
      </c>
    </row>
    <row r="252" spans="1:93" ht="39.950000000000003" hidden="1" customHeight="1" x14ac:dyDescent="0.25">
      <c r="CM252" s="31">
        <v>250</v>
      </c>
      <c r="CN252" s="36">
        <v>125</v>
      </c>
      <c r="CO252" s="52" t="s">
        <v>0</v>
      </c>
    </row>
    <row r="253" spans="1:93" ht="39.950000000000003" hidden="1" customHeight="1" x14ac:dyDescent="0.25">
      <c r="CM253" s="31">
        <v>251</v>
      </c>
      <c r="CN253" s="36">
        <v>125.5</v>
      </c>
      <c r="CO253" s="52" t="s">
        <v>0</v>
      </c>
    </row>
    <row r="254" spans="1:93" s="12" customFormat="1" ht="39.950000000000003" hidden="1" customHeight="1" x14ac:dyDescent="0.25">
      <c r="A254" s="2"/>
      <c r="B254" s="2"/>
      <c r="C254" s="2"/>
      <c r="D254" s="2"/>
      <c r="E254" s="2"/>
      <c r="F254" s="2"/>
      <c r="G254" s="2"/>
      <c r="H254" s="2"/>
      <c r="I254" s="2"/>
      <c r="J254" s="2"/>
      <c r="K254" s="2"/>
      <c r="L254" s="2"/>
      <c r="M254" s="2"/>
      <c r="N254" s="2"/>
      <c r="O254" s="2"/>
      <c r="P254" s="22"/>
      <c r="Q254" s="22"/>
      <c r="R254" s="22"/>
      <c r="S254" s="1"/>
      <c r="T254" s="2"/>
      <c r="U254" s="22"/>
      <c r="V254" s="22"/>
      <c r="W254" s="1"/>
      <c r="X254" s="1"/>
      <c r="Y254" s="1"/>
      <c r="Z254" s="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c r="CL254" s="31"/>
      <c r="CM254" s="31">
        <v>252</v>
      </c>
      <c r="CN254" s="36">
        <v>126</v>
      </c>
      <c r="CO254" s="52" t="s">
        <v>0</v>
      </c>
    </row>
    <row r="255" spans="1:93" s="12" customFormat="1" ht="39.950000000000003" hidden="1" customHeight="1" x14ac:dyDescent="0.25">
      <c r="A255" s="2"/>
      <c r="B255" s="2"/>
      <c r="C255" s="2"/>
      <c r="D255" s="2"/>
      <c r="E255" s="2"/>
      <c r="F255" s="2"/>
      <c r="G255" s="2"/>
      <c r="H255" s="2"/>
      <c r="I255" s="2"/>
      <c r="J255" s="2"/>
      <c r="K255" s="2"/>
      <c r="L255" s="2"/>
      <c r="M255" s="2"/>
      <c r="N255" s="2"/>
      <c r="O255" s="2"/>
      <c r="P255" s="22"/>
      <c r="Q255" s="22"/>
      <c r="R255" s="22"/>
      <c r="S255" s="1"/>
      <c r="T255" s="2"/>
      <c r="U255" s="22"/>
      <c r="V255" s="22"/>
      <c r="W255" s="1"/>
      <c r="X255" s="1"/>
      <c r="Y255" s="1"/>
      <c r="Z255" s="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c r="CL255" s="31"/>
      <c r="CM255" s="31">
        <v>253</v>
      </c>
      <c r="CN255" s="36">
        <v>126.5</v>
      </c>
      <c r="CO255" s="52" t="s">
        <v>0</v>
      </c>
    </row>
    <row r="256" spans="1:93" s="12" customFormat="1" ht="39.950000000000003" hidden="1" customHeight="1" x14ac:dyDescent="0.25">
      <c r="A256" s="2"/>
      <c r="B256" s="2"/>
      <c r="C256" s="2"/>
      <c r="D256" s="2"/>
      <c r="E256" s="2"/>
      <c r="F256" s="2"/>
      <c r="G256" s="2"/>
      <c r="H256" s="2"/>
      <c r="I256" s="2"/>
      <c r="J256" s="2"/>
      <c r="K256" s="2"/>
      <c r="L256" s="2"/>
      <c r="M256" s="2"/>
      <c r="N256" s="2"/>
      <c r="O256" s="2"/>
      <c r="P256" s="22"/>
      <c r="Q256" s="22"/>
      <c r="R256" s="22"/>
      <c r="S256" s="1"/>
      <c r="T256" s="2"/>
      <c r="U256" s="22"/>
      <c r="V256" s="22"/>
      <c r="W256" s="1"/>
      <c r="X256" s="1"/>
      <c r="Y256" s="1"/>
      <c r="Z256" s="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v>254</v>
      </c>
      <c r="CN256" s="36">
        <v>127</v>
      </c>
      <c r="CO256" s="52" t="s">
        <v>0</v>
      </c>
    </row>
    <row r="257" spans="1:93" s="12" customFormat="1" ht="39.950000000000003" hidden="1" customHeight="1" x14ac:dyDescent="0.25">
      <c r="A257" s="2"/>
      <c r="B257" s="2"/>
      <c r="C257" s="2"/>
      <c r="D257" s="2"/>
      <c r="E257" s="2"/>
      <c r="F257" s="2"/>
      <c r="G257" s="2"/>
      <c r="H257" s="2"/>
      <c r="I257" s="2"/>
      <c r="J257" s="2"/>
      <c r="K257" s="2"/>
      <c r="L257" s="2"/>
      <c r="M257" s="2"/>
      <c r="N257" s="2"/>
      <c r="O257" s="2"/>
      <c r="P257" s="22"/>
      <c r="Q257" s="22"/>
      <c r="R257" s="22"/>
      <c r="S257" s="1"/>
      <c r="T257" s="2"/>
      <c r="U257" s="22"/>
      <c r="V257" s="22"/>
      <c r="W257" s="1"/>
      <c r="X257" s="1"/>
      <c r="Y257" s="1"/>
      <c r="Z257" s="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v>255</v>
      </c>
      <c r="CN257" s="36">
        <v>127.5</v>
      </c>
      <c r="CO257" s="52" t="s">
        <v>0</v>
      </c>
    </row>
    <row r="258" spans="1:93" s="12" customFormat="1" ht="39.950000000000003" hidden="1" customHeight="1" x14ac:dyDescent="0.25">
      <c r="A258" s="2"/>
      <c r="B258" s="2"/>
      <c r="C258" s="2"/>
      <c r="D258" s="2"/>
      <c r="E258" s="2"/>
      <c r="F258" s="2"/>
      <c r="G258" s="2"/>
      <c r="H258" s="2"/>
      <c r="I258" s="2"/>
      <c r="J258" s="2"/>
      <c r="K258" s="2"/>
      <c r="L258" s="2"/>
      <c r="M258" s="2"/>
      <c r="N258" s="2"/>
      <c r="O258" s="2"/>
      <c r="P258" s="22"/>
      <c r="Q258" s="22"/>
      <c r="R258" s="22"/>
      <c r="S258" s="1"/>
      <c r="T258" s="2"/>
      <c r="U258" s="22"/>
      <c r="V258" s="22"/>
      <c r="W258" s="1"/>
      <c r="X258" s="1"/>
      <c r="Y258" s="1"/>
      <c r="Z258" s="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v>256</v>
      </c>
      <c r="CN258" s="36">
        <v>128</v>
      </c>
      <c r="CO258" s="52" t="s">
        <v>0</v>
      </c>
    </row>
    <row r="259" spans="1:93" s="12" customFormat="1" ht="39.950000000000003" hidden="1" customHeight="1" x14ac:dyDescent="0.25">
      <c r="A259" s="2"/>
      <c r="B259" s="2"/>
      <c r="C259" s="2"/>
      <c r="D259" s="2"/>
      <c r="E259" s="2"/>
      <c r="F259" s="2"/>
      <c r="G259" s="2"/>
      <c r="H259" s="2"/>
      <c r="I259" s="2"/>
      <c r="J259" s="2"/>
      <c r="K259" s="2"/>
      <c r="L259" s="2"/>
      <c r="M259" s="2"/>
      <c r="N259" s="2"/>
      <c r="O259" s="2"/>
      <c r="P259" s="22"/>
      <c r="Q259" s="22"/>
      <c r="R259" s="22"/>
      <c r="S259" s="1"/>
      <c r="T259" s="2"/>
      <c r="U259" s="22"/>
      <c r="V259" s="22"/>
      <c r="W259" s="1"/>
      <c r="X259" s="1"/>
      <c r="Y259" s="1"/>
      <c r="Z259" s="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v>257</v>
      </c>
      <c r="CN259" s="36">
        <v>128.5</v>
      </c>
      <c r="CO259" s="52" t="s">
        <v>0</v>
      </c>
    </row>
    <row r="260" spans="1:93" s="12" customFormat="1" ht="39.950000000000003" hidden="1" customHeight="1" x14ac:dyDescent="0.25">
      <c r="A260" s="2"/>
      <c r="B260" s="2"/>
      <c r="C260" s="2"/>
      <c r="D260" s="2"/>
      <c r="E260" s="2"/>
      <c r="F260" s="2"/>
      <c r="G260" s="2"/>
      <c r="H260" s="2"/>
      <c r="I260" s="2"/>
      <c r="J260" s="2"/>
      <c r="K260" s="2"/>
      <c r="L260" s="2"/>
      <c r="M260" s="2"/>
      <c r="N260" s="2"/>
      <c r="O260" s="2"/>
      <c r="P260" s="22"/>
      <c r="Q260" s="22"/>
      <c r="R260" s="22"/>
      <c r="S260" s="1"/>
      <c r="T260" s="2"/>
      <c r="U260" s="22"/>
      <c r="V260" s="22"/>
      <c r="W260" s="1"/>
      <c r="X260" s="1"/>
      <c r="Y260" s="1"/>
      <c r="Z260" s="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v>258</v>
      </c>
      <c r="CN260" s="36">
        <v>129</v>
      </c>
      <c r="CO260" s="52" t="s">
        <v>0</v>
      </c>
    </row>
    <row r="261" spans="1:93" s="12" customFormat="1" ht="39.950000000000003" hidden="1" customHeight="1" x14ac:dyDescent="0.25">
      <c r="A261" s="2"/>
      <c r="B261" s="2"/>
      <c r="C261" s="2"/>
      <c r="D261" s="2"/>
      <c r="E261" s="2"/>
      <c r="F261" s="2"/>
      <c r="G261" s="2"/>
      <c r="H261" s="2"/>
      <c r="I261" s="2"/>
      <c r="J261" s="2"/>
      <c r="K261" s="2"/>
      <c r="L261" s="2"/>
      <c r="M261" s="2"/>
      <c r="N261" s="2"/>
      <c r="O261" s="2"/>
      <c r="P261" s="22"/>
      <c r="Q261" s="22"/>
      <c r="R261" s="22"/>
      <c r="S261" s="1"/>
      <c r="T261" s="2"/>
      <c r="U261" s="22"/>
      <c r="V261" s="22"/>
      <c r="W261" s="1"/>
      <c r="X261" s="1"/>
      <c r="Y261" s="1"/>
      <c r="Z261" s="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v>259</v>
      </c>
      <c r="CN261" s="36">
        <v>129.5</v>
      </c>
      <c r="CO261" s="52" t="s">
        <v>0</v>
      </c>
    </row>
    <row r="262" spans="1:93" s="12" customFormat="1" ht="39.950000000000003" hidden="1" customHeight="1" x14ac:dyDescent="0.25">
      <c r="A262" s="2"/>
      <c r="B262" s="2"/>
      <c r="C262" s="2"/>
      <c r="D262" s="2"/>
      <c r="E262" s="2"/>
      <c r="F262" s="2"/>
      <c r="G262" s="2"/>
      <c r="H262" s="2"/>
      <c r="I262" s="2"/>
      <c r="J262" s="2"/>
      <c r="K262" s="2"/>
      <c r="L262" s="2"/>
      <c r="M262" s="2"/>
      <c r="N262" s="2"/>
      <c r="O262" s="2"/>
      <c r="P262" s="22"/>
      <c r="Q262" s="22"/>
      <c r="R262" s="22"/>
      <c r="S262" s="1"/>
      <c r="T262" s="2"/>
      <c r="U262" s="22"/>
      <c r="V262" s="22"/>
      <c r="W262" s="1"/>
      <c r="X262" s="1"/>
      <c r="Y262" s="1"/>
      <c r="Z262" s="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v>260</v>
      </c>
      <c r="CN262" s="36">
        <v>130</v>
      </c>
      <c r="CO262" s="52" t="s">
        <v>0</v>
      </c>
    </row>
    <row r="263" spans="1:93" s="12" customFormat="1" ht="39.950000000000003" hidden="1" customHeight="1" x14ac:dyDescent="0.25">
      <c r="A263" s="2"/>
      <c r="B263" s="2"/>
      <c r="C263" s="2"/>
      <c r="D263" s="2"/>
      <c r="E263" s="2"/>
      <c r="F263" s="2"/>
      <c r="G263" s="2"/>
      <c r="H263" s="2"/>
      <c r="I263" s="2"/>
      <c r="J263" s="2"/>
      <c r="K263" s="2"/>
      <c r="L263" s="2"/>
      <c r="M263" s="2"/>
      <c r="N263" s="2"/>
      <c r="O263" s="2"/>
      <c r="P263" s="22"/>
      <c r="Q263" s="22"/>
      <c r="R263" s="22"/>
      <c r="S263" s="1"/>
      <c r="T263" s="2"/>
      <c r="U263" s="22"/>
      <c r="V263" s="22"/>
      <c r="W263" s="1"/>
      <c r="X263" s="1"/>
      <c r="Y263" s="1"/>
      <c r="Z263" s="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c r="CL263" s="31"/>
      <c r="CM263" s="31">
        <v>261</v>
      </c>
      <c r="CN263" s="36">
        <v>130.5</v>
      </c>
      <c r="CO263" s="52" t="s">
        <v>0</v>
      </c>
    </row>
    <row r="264" spans="1:93" s="12" customFormat="1" ht="39.950000000000003" hidden="1" customHeight="1" x14ac:dyDescent="0.25">
      <c r="A264" s="2"/>
      <c r="B264" s="2"/>
      <c r="C264" s="2"/>
      <c r="D264" s="2"/>
      <c r="E264" s="2"/>
      <c r="F264" s="2"/>
      <c r="G264" s="2"/>
      <c r="H264" s="2"/>
      <c r="I264" s="2"/>
      <c r="J264" s="2"/>
      <c r="K264" s="2"/>
      <c r="L264" s="2"/>
      <c r="M264" s="2"/>
      <c r="N264" s="2"/>
      <c r="O264" s="2"/>
      <c r="P264" s="22"/>
      <c r="Q264" s="22"/>
      <c r="R264" s="22"/>
      <c r="S264" s="1"/>
      <c r="T264" s="2"/>
      <c r="U264" s="22"/>
      <c r="V264" s="22"/>
      <c r="W264" s="1"/>
      <c r="X264" s="1"/>
      <c r="Y264" s="1"/>
      <c r="Z264" s="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c r="CL264" s="31"/>
      <c r="CM264" s="31">
        <v>262</v>
      </c>
      <c r="CN264" s="36">
        <v>131</v>
      </c>
      <c r="CO264" s="52" t="s">
        <v>0</v>
      </c>
    </row>
    <row r="265" spans="1:93" s="12" customFormat="1" ht="39.950000000000003" hidden="1" customHeight="1" x14ac:dyDescent="0.25">
      <c r="A265" s="2"/>
      <c r="B265" s="2"/>
      <c r="C265" s="2"/>
      <c r="D265" s="2"/>
      <c r="E265" s="2"/>
      <c r="F265" s="2"/>
      <c r="G265" s="2"/>
      <c r="H265" s="2"/>
      <c r="I265" s="2"/>
      <c r="J265" s="2"/>
      <c r="K265" s="2"/>
      <c r="L265" s="2"/>
      <c r="M265" s="2"/>
      <c r="N265" s="2"/>
      <c r="O265" s="2"/>
      <c r="P265" s="22"/>
      <c r="Q265" s="22"/>
      <c r="R265" s="22"/>
      <c r="S265" s="1"/>
      <c r="T265" s="2"/>
      <c r="U265" s="22"/>
      <c r="V265" s="22"/>
      <c r="W265" s="1"/>
      <c r="X265" s="1"/>
      <c r="Y265" s="1"/>
      <c r="Z265" s="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c r="CB265" s="31"/>
      <c r="CC265" s="31"/>
      <c r="CD265" s="31"/>
      <c r="CE265" s="31"/>
      <c r="CF265" s="31"/>
      <c r="CG265" s="31"/>
      <c r="CH265" s="31"/>
      <c r="CI265" s="31"/>
      <c r="CJ265" s="31"/>
      <c r="CK265" s="31"/>
      <c r="CL265" s="31"/>
      <c r="CM265" s="31">
        <v>263</v>
      </c>
      <c r="CN265" s="36">
        <v>131.5</v>
      </c>
      <c r="CO265" s="52" t="s">
        <v>0</v>
      </c>
    </row>
    <row r="266" spans="1:93" s="12" customFormat="1" ht="39.950000000000003" hidden="1" customHeight="1" x14ac:dyDescent="0.25">
      <c r="A266" s="2"/>
      <c r="B266" s="2"/>
      <c r="C266" s="2"/>
      <c r="D266" s="2"/>
      <c r="E266" s="2"/>
      <c r="F266" s="2"/>
      <c r="G266" s="2"/>
      <c r="H266" s="2"/>
      <c r="I266" s="2"/>
      <c r="J266" s="2"/>
      <c r="K266" s="2"/>
      <c r="L266" s="2"/>
      <c r="M266" s="2"/>
      <c r="N266" s="2"/>
      <c r="O266" s="2"/>
      <c r="P266" s="22"/>
      <c r="Q266" s="22"/>
      <c r="R266" s="22"/>
      <c r="S266" s="1"/>
      <c r="T266" s="2"/>
      <c r="U266" s="22"/>
      <c r="V266" s="22"/>
      <c r="W266" s="1"/>
      <c r="X266" s="1"/>
      <c r="Y266" s="1"/>
      <c r="Z266" s="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c r="CB266" s="31"/>
      <c r="CC266" s="31"/>
      <c r="CD266" s="31"/>
      <c r="CE266" s="31"/>
      <c r="CF266" s="31"/>
      <c r="CG266" s="31"/>
      <c r="CH266" s="31"/>
      <c r="CI266" s="31"/>
      <c r="CJ266" s="31"/>
      <c r="CK266" s="31"/>
      <c r="CL266" s="31"/>
      <c r="CM266" s="31">
        <v>264</v>
      </c>
      <c r="CN266" s="36">
        <v>132</v>
      </c>
      <c r="CO266" s="52" t="s">
        <v>0</v>
      </c>
    </row>
    <row r="267" spans="1:93" s="12" customFormat="1" ht="39.950000000000003" hidden="1" customHeight="1" x14ac:dyDescent="0.25">
      <c r="A267" s="2"/>
      <c r="B267" s="2"/>
      <c r="C267" s="2"/>
      <c r="D267" s="2"/>
      <c r="E267" s="2"/>
      <c r="F267" s="2"/>
      <c r="G267" s="2"/>
      <c r="H267" s="2"/>
      <c r="I267" s="2"/>
      <c r="J267" s="2"/>
      <c r="K267" s="2"/>
      <c r="L267" s="2"/>
      <c r="M267" s="2"/>
      <c r="N267" s="2"/>
      <c r="O267" s="2"/>
      <c r="P267" s="22"/>
      <c r="Q267" s="22"/>
      <c r="R267" s="22"/>
      <c r="S267" s="1"/>
      <c r="T267" s="2"/>
      <c r="U267" s="22"/>
      <c r="V267" s="22"/>
      <c r="W267" s="1"/>
      <c r="X267" s="1"/>
      <c r="Y267" s="1"/>
      <c r="Z267" s="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c r="CL267" s="31"/>
      <c r="CM267" s="31">
        <v>265</v>
      </c>
      <c r="CN267" s="36">
        <v>132.5</v>
      </c>
      <c r="CO267" s="52" t="s">
        <v>0</v>
      </c>
    </row>
    <row r="268" spans="1:93" s="12" customFormat="1" ht="39.950000000000003" hidden="1" customHeight="1" x14ac:dyDescent="0.25">
      <c r="A268" s="2"/>
      <c r="B268" s="2"/>
      <c r="C268" s="2"/>
      <c r="D268" s="2"/>
      <c r="E268" s="2"/>
      <c r="F268" s="2"/>
      <c r="G268" s="2"/>
      <c r="H268" s="2"/>
      <c r="I268" s="2"/>
      <c r="J268" s="2"/>
      <c r="K268" s="2"/>
      <c r="L268" s="2"/>
      <c r="M268" s="2"/>
      <c r="N268" s="2"/>
      <c r="O268" s="2"/>
      <c r="P268" s="22"/>
      <c r="Q268" s="22"/>
      <c r="R268" s="22"/>
      <c r="S268" s="1"/>
      <c r="T268" s="2"/>
      <c r="U268" s="22"/>
      <c r="V268" s="22"/>
      <c r="W268" s="1"/>
      <c r="X268" s="1"/>
      <c r="Y268" s="1"/>
      <c r="Z268" s="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c r="CI268" s="31"/>
      <c r="CJ268" s="31"/>
      <c r="CK268" s="31"/>
      <c r="CL268" s="31"/>
      <c r="CM268" s="31">
        <v>266</v>
      </c>
      <c r="CN268" s="36">
        <v>133</v>
      </c>
      <c r="CO268" s="52" t="s">
        <v>0</v>
      </c>
    </row>
    <row r="269" spans="1:93" s="12" customFormat="1" ht="39.950000000000003" hidden="1" customHeight="1" x14ac:dyDescent="0.25">
      <c r="A269" s="2"/>
      <c r="B269" s="2"/>
      <c r="C269" s="2"/>
      <c r="D269" s="2"/>
      <c r="E269" s="2"/>
      <c r="F269" s="2"/>
      <c r="G269" s="2"/>
      <c r="H269" s="2"/>
      <c r="I269" s="2"/>
      <c r="J269" s="2"/>
      <c r="K269" s="2"/>
      <c r="L269" s="2"/>
      <c r="M269" s="2"/>
      <c r="N269" s="2"/>
      <c r="O269" s="2"/>
      <c r="P269" s="22"/>
      <c r="Q269" s="22"/>
      <c r="R269" s="22"/>
      <c r="S269" s="1"/>
      <c r="T269" s="2"/>
      <c r="U269" s="22"/>
      <c r="V269" s="22"/>
      <c r="W269" s="1"/>
      <c r="X269" s="1"/>
      <c r="Y269" s="1"/>
      <c r="Z269" s="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c r="CL269" s="31"/>
      <c r="CM269" s="31">
        <v>267</v>
      </c>
      <c r="CN269" s="36">
        <v>133.5</v>
      </c>
      <c r="CO269" s="52" t="s">
        <v>0</v>
      </c>
    </row>
    <row r="270" spans="1:93" ht="39.950000000000003" hidden="1" customHeight="1" x14ac:dyDescent="0.25">
      <c r="CM270" s="31">
        <v>268</v>
      </c>
      <c r="CN270" s="36">
        <v>134</v>
      </c>
      <c r="CO270" s="52" t="s">
        <v>0</v>
      </c>
    </row>
    <row r="271" spans="1:93" ht="39.950000000000003" hidden="1" customHeight="1" x14ac:dyDescent="0.25">
      <c r="CM271" s="31">
        <v>269</v>
      </c>
      <c r="CN271" s="36">
        <v>134.5</v>
      </c>
      <c r="CO271" s="52" t="s">
        <v>0</v>
      </c>
    </row>
    <row r="272" spans="1:93" ht="39.950000000000003" hidden="1" customHeight="1" x14ac:dyDescent="0.25">
      <c r="CM272" s="31">
        <v>270</v>
      </c>
      <c r="CN272" s="36">
        <v>135</v>
      </c>
      <c r="CO272" s="52" t="s">
        <v>0</v>
      </c>
    </row>
    <row r="273" spans="91:93" ht="39.950000000000003" hidden="1" customHeight="1" x14ac:dyDescent="0.25">
      <c r="CM273" s="31">
        <v>271</v>
      </c>
      <c r="CN273" s="36">
        <v>135.5</v>
      </c>
      <c r="CO273" s="52" t="s">
        <v>0</v>
      </c>
    </row>
    <row r="274" spans="91:93" ht="39.950000000000003" hidden="1" customHeight="1" x14ac:dyDescent="0.25">
      <c r="CM274" s="31">
        <v>272</v>
      </c>
      <c r="CN274" s="36">
        <v>136</v>
      </c>
      <c r="CO274" s="52" t="s">
        <v>0</v>
      </c>
    </row>
    <row r="275" spans="91:93" ht="39.950000000000003" hidden="1" customHeight="1" x14ac:dyDescent="0.25">
      <c r="CM275" s="31">
        <v>273</v>
      </c>
      <c r="CN275" s="36">
        <v>136.5</v>
      </c>
      <c r="CO275" s="52" t="s">
        <v>0</v>
      </c>
    </row>
    <row r="276" spans="91:93" ht="39.950000000000003" hidden="1" customHeight="1" x14ac:dyDescent="0.25">
      <c r="CM276" s="31">
        <v>274</v>
      </c>
      <c r="CN276" s="36">
        <v>137</v>
      </c>
      <c r="CO276" s="52" t="s">
        <v>0</v>
      </c>
    </row>
    <row r="277" spans="91:93" ht="39.950000000000003" hidden="1" customHeight="1" x14ac:dyDescent="0.25">
      <c r="CM277" s="31">
        <v>275</v>
      </c>
      <c r="CN277" s="36">
        <v>137.5</v>
      </c>
      <c r="CO277" s="52" t="s">
        <v>0</v>
      </c>
    </row>
    <row r="278" spans="91:93" ht="39.950000000000003" hidden="1" customHeight="1" x14ac:dyDescent="0.25">
      <c r="CM278" s="31">
        <v>276</v>
      </c>
      <c r="CN278" s="36">
        <v>138</v>
      </c>
      <c r="CO278" s="52" t="s">
        <v>0</v>
      </c>
    </row>
    <row r="279" spans="91:93" ht="39.950000000000003" hidden="1" customHeight="1" x14ac:dyDescent="0.25">
      <c r="CM279" s="31">
        <v>277</v>
      </c>
      <c r="CN279" s="36">
        <v>138.5</v>
      </c>
      <c r="CO279" s="52" t="s">
        <v>0</v>
      </c>
    </row>
    <row r="280" spans="91:93" ht="39.950000000000003" hidden="1" customHeight="1" x14ac:dyDescent="0.25">
      <c r="CM280" s="31">
        <v>278</v>
      </c>
      <c r="CN280" s="36">
        <v>139</v>
      </c>
      <c r="CO280" s="52" t="s">
        <v>0</v>
      </c>
    </row>
    <row r="281" spans="91:93" ht="39.950000000000003" hidden="1" customHeight="1" x14ac:dyDescent="0.25">
      <c r="CM281" s="31">
        <v>279</v>
      </c>
      <c r="CN281" s="36">
        <v>139.5</v>
      </c>
      <c r="CO281" s="52" t="s">
        <v>0</v>
      </c>
    </row>
    <row r="282" spans="91:93" ht="39.950000000000003" hidden="1" customHeight="1" x14ac:dyDescent="0.25">
      <c r="CM282" s="31">
        <v>280</v>
      </c>
      <c r="CN282" s="36">
        <v>140</v>
      </c>
      <c r="CO282" s="52" t="s">
        <v>0</v>
      </c>
    </row>
    <row r="283" spans="91:93" ht="39.950000000000003" hidden="1" customHeight="1" x14ac:dyDescent="0.25">
      <c r="CM283" s="31">
        <v>281</v>
      </c>
      <c r="CN283" s="36">
        <v>140.5</v>
      </c>
      <c r="CO283" s="52" t="s">
        <v>0</v>
      </c>
    </row>
    <row r="284" spans="91:93" ht="39.950000000000003" hidden="1" customHeight="1" x14ac:dyDescent="0.25">
      <c r="CM284" s="31">
        <v>282</v>
      </c>
      <c r="CN284" s="36">
        <v>141</v>
      </c>
      <c r="CO284" s="52" t="s">
        <v>0</v>
      </c>
    </row>
    <row r="285" spans="91:93" ht="39.950000000000003" hidden="1" customHeight="1" x14ac:dyDescent="0.25">
      <c r="CM285" s="31">
        <v>283</v>
      </c>
      <c r="CN285" s="36">
        <v>141.5</v>
      </c>
      <c r="CO285" s="52" t="s">
        <v>0</v>
      </c>
    </row>
    <row r="286" spans="91:93" ht="39.950000000000003" hidden="1" customHeight="1" x14ac:dyDescent="0.25">
      <c r="CM286" s="31">
        <v>284</v>
      </c>
      <c r="CN286" s="36">
        <v>142</v>
      </c>
      <c r="CO286" s="52" t="s">
        <v>0</v>
      </c>
    </row>
    <row r="287" spans="91:93" ht="39.950000000000003" hidden="1" customHeight="1" x14ac:dyDescent="0.25">
      <c r="CM287" s="31">
        <v>285</v>
      </c>
      <c r="CN287" s="36">
        <v>142.5</v>
      </c>
      <c r="CO287" s="52" t="s">
        <v>0</v>
      </c>
    </row>
    <row r="288" spans="91:93" ht="39.950000000000003" hidden="1" customHeight="1" x14ac:dyDescent="0.25">
      <c r="CM288" s="31">
        <v>286</v>
      </c>
      <c r="CN288" s="36">
        <v>143</v>
      </c>
      <c r="CO288" s="52" t="s">
        <v>0</v>
      </c>
    </row>
    <row r="289" spans="91:93" ht="39.950000000000003" hidden="1" customHeight="1" x14ac:dyDescent="0.25">
      <c r="CM289" s="31">
        <v>287</v>
      </c>
      <c r="CN289" s="36">
        <v>143.5</v>
      </c>
      <c r="CO289" s="52" t="s">
        <v>0</v>
      </c>
    </row>
    <row r="290" spans="91:93" ht="39.950000000000003" hidden="1" customHeight="1" x14ac:dyDescent="0.25">
      <c r="CM290" s="31">
        <v>288</v>
      </c>
      <c r="CN290" s="36">
        <v>144</v>
      </c>
      <c r="CO290" s="52" t="s">
        <v>0</v>
      </c>
    </row>
    <row r="291" spans="91:93" ht="39.950000000000003" hidden="1" customHeight="1" x14ac:dyDescent="0.25">
      <c r="CM291" s="31">
        <v>289</v>
      </c>
      <c r="CN291" s="36">
        <v>144.5</v>
      </c>
      <c r="CO291" s="52" t="s">
        <v>0</v>
      </c>
    </row>
    <row r="292" spans="91:93" ht="39.950000000000003" hidden="1" customHeight="1" x14ac:dyDescent="0.25">
      <c r="CM292" s="31">
        <v>290</v>
      </c>
      <c r="CN292" s="36">
        <v>145</v>
      </c>
      <c r="CO292" s="52" t="s">
        <v>0</v>
      </c>
    </row>
    <row r="293" spans="91:93" ht="39.950000000000003" hidden="1" customHeight="1" x14ac:dyDescent="0.25">
      <c r="CM293" s="31">
        <v>291</v>
      </c>
      <c r="CN293" s="36">
        <v>145.5</v>
      </c>
      <c r="CO293" s="52" t="s">
        <v>0</v>
      </c>
    </row>
    <row r="294" spans="91:93" ht="39.950000000000003" hidden="1" customHeight="1" x14ac:dyDescent="0.25">
      <c r="CM294" s="31">
        <v>292</v>
      </c>
      <c r="CN294" s="36">
        <v>146</v>
      </c>
      <c r="CO294" s="52" t="s">
        <v>0</v>
      </c>
    </row>
    <row r="295" spans="91:93" ht="39.950000000000003" hidden="1" customHeight="1" x14ac:dyDescent="0.25">
      <c r="CM295" s="31">
        <v>293</v>
      </c>
      <c r="CN295" s="36">
        <v>146.5</v>
      </c>
      <c r="CO295" s="52" t="s">
        <v>0</v>
      </c>
    </row>
    <row r="296" spans="91:93" ht="39.950000000000003" hidden="1" customHeight="1" x14ac:dyDescent="0.25">
      <c r="CM296" s="31">
        <v>294</v>
      </c>
      <c r="CN296" s="36">
        <v>147</v>
      </c>
      <c r="CO296" s="52" t="s">
        <v>0</v>
      </c>
    </row>
    <row r="297" spans="91:93" ht="39.950000000000003" hidden="1" customHeight="1" x14ac:dyDescent="0.25">
      <c r="CM297" s="31">
        <v>295</v>
      </c>
      <c r="CN297" s="36">
        <v>147.5</v>
      </c>
      <c r="CO297" s="52" t="s">
        <v>0</v>
      </c>
    </row>
    <row r="298" spans="91:93" ht="39.950000000000003" hidden="1" customHeight="1" x14ac:dyDescent="0.25">
      <c r="CM298" s="31">
        <v>296</v>
      </c>
      <c r="CN298" s="36">
        <v>148</v>
      </c>
      <c r="CO298" s="52" t="s">
        <v>0</v>
      </c>
    </row>
    <row r="299" spans="91:93" ht="39.950000000000003" hidden="1" customHeight="1" x14ac:dyDescent="0.25">
      <c r="CM299" s="31">
        <v>297</v>
      </c>
      <c r="CN299" s="36">
        <v>148.5</v>
      </c>
      <c r="CO299" s="52" t="s">
        <v>0</v>
      </c>
    </row>
    <row r="300" spans="91:93" ht="39.950000000000003" hidden="1" customHeight="1" x14ac:dyDescent="0.25">
      <c r="CM300" s="31">
        <v>298</v>
      </c>
      <c r="CN300" s="36">
        <v>149</v>
      </c>
      <c r="CO300" s="52" t="s">
        <v>0</v>
      </c>
    </row>
    <row r="301" spans="91:93" ht="39.950000000000003" hidden="1" customHeight="1" x14ac:dyDescent="0.25">
      <c r="CM301" s="31">
        <v>299</v>
      </c>
      <c r="CN301" s="36">
        <v>149.5</v>
      </c>
      <c r="CO301" s="52" t="s">
        <v>0</v>
      </c>
    </row>
    <row r="302" spans="91:93" ht="39.950000000000003" hidden="1" customHeight="1" x14ac:dyDescent="0.25">
      <c r="CM302" s="31">
        <v>300</v>
      </c>
      <c r="CN302" s="36">
        <v>150</v>
      </c>
      <c r="CO302" s="52" t="s">
        <v>0</v>
      </c>
    </row>
    <row r="303" spans="91:93" ht="39.950000000000003" hidden="1" customHeight="1" x14ac:dyDescent="0.25">
      <c r="CM303" s="31">
        <v>301</v>
      </c>
      <c r="CN303" s="36">
        <v>150.5</v>
      </c>
      <c r="CO303" s="52" t="s">
        <v>0</v>
      </c>
    </row>
    <row r="304" spans="91:93" ht="39.950000000000003" hidden="1" customHeight="1" x14ac:dyDescent="0.25">
      <c r="CM304" s="31">
        <v>302</v>
      </c>
      <c r="CN304" s="36">
        <v>151</v>
      </c>
      <c r="CO304" s="52" t="s">
        <v>0</v>
      </c>
    </row>
    <row r="305" spans="91:93" ht="39.950000000000003" hidden="1" customHeight="1" x14ac:dyDescent="0.25">
      <c r="CM305" s="31">
        <v>303</v>
      </c>
      <c r="CN305" s="36">
        <v>151.5</v>
      </c>
      <c r="CO305" s="52" t="s">
        <v>0</v>
      </c>
    </row>
    <row r="306" spans="91:93" ht="39.950000000000003" hidden="1" customHeight="1" x14ac:dyDescent="0.25">
      <c r="CM306" s="31">
        <v>304</v>
      </c>
      <c r="CN306" s="36">
        <v>152</v>
      </c>
      <c r="CO306" s="52" t="s">
        <v>0</v>
      </c>
    </row>
    <row r="307" spans="91:93" ht="39.950000000000003" hidden="1" customHeight="1" x14ac:dyDescent="0.25">
      <c r="CM307" s="31">
        <v>305</v>
      </c>
      <c r="CN307" s="36">
        <v>152.5</v>
      </c>
      <c r="CO307" s="52" t="s">
        <v>0</v>
      </c>
    </row>
    <row r="308" spans="91:93" ht="39.950000000000003" hidden="1" customHeight="1" x14ac:dyDescent="0.25">
      <c r="CM308" s="31">
        <v>306</v>
      </c>
      <c r="CN308" s="36">
        <v>153</v>
      </c>
      <c r="CO308" s="52" t="s">
        <v>0</v>
      </c>
    </row>
    <row r="309" spans="91:93" ht="39.950000000000003" hidden="1" customHeight="1" x14ac:dyDescent="0.25">
      <c r="CM309" s="31">
        <v>307</v>
      </c>
      <c r="CN309" s="36">
        <v>153.5</v>
      </c>
      <c r="CO309" s="52" t="s">
        <v>0</v>
      </c>
    </row>
    <row r="310" spans="91:93" ht="39.950000000000003" hidden="1" customHeight="1" x14ac:dyDescent="0.25">
      <c r="CM310" s="31">
        <v>308</v>
      </c>
      <c r="CN310" s="36">
        <v>154</v>
      </c>
      <c r="CO310" s="52" t="s">
        <v>0</v>
      </c>
    </row>
    <row r="311" spans="91:93" ht="39.950000000000003" hidden="1" customHeight="1" x14ac:dyDescent="0.25">
      <c r="CM311" s="31">
        <v>309</v>
      </c>
      <c r="CN311" s="36">
        <v>154.5</v>
      </c>
      <c r="CO311" s="52" t="s">
        <v>0</v>
      </c>
    </row>
    <row r="312" spans="91:93" ht="39.950000000000003" hidden="1" customHeight="1" x14ac:dyDescent="0.25">
      <c r="CM312" s="31">
        <v>310</v>
      </c>
      <c r="CN312" s="36">
        <v>155</v>
      </c>
      <c r="CO312" s="52" t="s">
        <v>0</v>
      </c>
    </row>
    <row r="313" spans="91:93" ht="39.950000000000003" hidden="1" customHeight="1" x14ac:dyDescent="0.25">
      <c r="CM313" s="31">
        <v>311</v>
      </c>
      <c r="CN313" s="36">
        <v>155.5</v>
      </c>
      <c r="CO313" s="52" t="s">
        <v>0</v>
      </c>
    </row>
    <row r="314" spans="91:93" ht="39.950000000000003" hidden="1" customHeight="1" x14ac:dyDescent="0.25">
      <c r="CM314" s="31">
        <v>312</v>
      </c>
      <c r="CN314" s="36">
        <v>156</v>
      </c>
      <c r="CO314" s="52" t="s">
        <v>0</v>
      </c>
    </row>
    <row r="315" spans="91:93" ht="39.950000000000003" hidden="1" customHeight="1" x14ac:dyDescent="0.25">
      <c r="CM315" s="31">
        <v>313</v>
      </c>
      <c r="CN315" s="36">
        <v>156.5</v>
      </c>
      <c r="CO315" s="52" t="s">
        <v>0</v>
      </c>
    </row>
    <row r="316" spans="91:93" ht="39.950000000000003" hidden="1" customHeight="1" x14ac:dyDescent="0.25">
      <c r="CM316" s="31">
        <v>314</v>
      </c>
      <c r="CN316" s="36">
        <v>157</v>
      </c>
      <c r="CO316" s="52" t="s">
        <v>0</v>
      </c>
    </row>
    <row r="317" spans="91:93" ht="39.950000000000003" hidden="1" customHeight="1" x14ac:dyDescent="0.25">
      <c r="CM317" s="31">
        <v>315</v>
      </c>
      <c r="CN317" s="36">
        <v>157.5</v>
      </c>
      <c r="CO317" s="52" t="s">
        <v>0</v>
      </c>
    </row>
    <row r="318" spans="91:93" ht="39.950000000000003" hidden="1" customHeight="1" x14ac:dyDescent="0.25">
      <c r="CM318" s="31">
        <v>316</v>
      </c>
      <c r="CN318" s="36">
        <v>158</v>
      </c>
      <c r="CO318" s="52" t="s">
        <v>0</v>
      </c>
    </row>
    <row r="319" spans="91:93" ht="39.950000000000003" hidden="1" customHeight="1" x14ac:dyDescent="0.25">
      <c r="CM319" s="31">
        <v>317</v>
      </c>
      <c r="CN319" s="36">
        <v>158.5</v>
      </c>
      <c r="CO319" s="52" t="s">
        <v>0</v>
      </c>
    </row>
    <row r="320" spans="91:93" ht="39.950000000000003" hidden="1" customHeight="1" x14ac:dyDescent="0.25">
      <c r="CM320" s="31">
        <v>318</v>
      </c>
      <c r="CN320" s="36">
        <v>159</v>
      </c>
      <c r="CO320" s="52" t="s">
        <v>0</v>
      </c>
    </row>
    <row r="321" spans="91:93" ht="39.950000000000003" hidden="1" customHeight="1" x14ac:dyDescent="0.25">
      <c r="CM321" s="31">
        <v>319</v>
      </c>
      <c r="CN321" s="36">
        <v>159.5</v>
      </c>
      <c r="CO321" s="52" t="s">
        <v>0</v>
      </c>
    </row>
    <row r="322" spans="91:93" ht="39.950000000000003" hidden="1" customHeight="1" x14ac:dyDescent="0.25">
      <c r="CM322" s="31">
        <v>320</v>
      </c>
      <c r="CN322" s="36">
        <v>160</v>
      </c>
      <c r="CO322" s="52" t="s">
        <v>0</v>
      </c>
    </row>
    <row r="323" spans="91:93" ht="39.950000000000003" hidden="1" customHeight="1" x14ac:dyDescent="0.25">
      <c r="CM323" s="31">
        <v>321</v>
      </c>
      <c r="CN323" s="36">
        <v>160.5</v>
      </c>
      <c r="CO323" s="52" t="s">
        <v>0</v>
      </c>
    </row>
    <row r="324" spans="91:93" ht="39.950000000000003" hidden="1" customHeight="1" x14ac:dyDescent="0.25">
      <c r="CM324" s="31">
        <v>322</v>
      </c>
      <c r="CN324" s="36">
        <v>161</v>
      </c>
      <c r="CO324" s="52" t="s">
        <v>0</v>
      </c>
    </row>
    <row r="325" spans="91:93" ht="39.950000000000003" hidden="1" customHeight="1" x14ac:dyDescent="0.25">
      <c r="CM325" s="31">
        <v>323</v>
      </c>
      <c r="CN325" s="36">
        <v>161.5</v>
      </c>
      <c r="CO325" s="52" t="s">
        <v>0</v>
      </c>
    </row>
    <row r="326" spans="91:93" ht="39.950000000000003" hidden="1" customHeight="1" x14ac:dyDescent="0.25">
      <c r="CM326" s="31">
        <v>324</v>
      </c>
      <c r="CN326" s="36">
        <v>162</v>
      </c>
      <c r="CO326" s="52" t="s">
        <v>0</v>
      </c>
    </row>
    <row r="327" spans="91:93" ht="39.950000000000003" hidden="1" customHeight="1" x14ac:dyDescent="0.25">
      <c r="CM327" s="31">
        <v>325</v>
      </c>
      <c r="CN327" s="36">
        <v>162.5</v>
      </c>
      <c r="CO327" s="52" t="s">
        <v>0</v>
      </c>
    </row>
    <row r="328" spans="91:93" ht="39.950000000000003" hidden="1" customHeight="1" x14ac:dyDescent="0.25">
      <c r="CM328" s="31">
        <v>326</v>
      </c>
      <c r="CN328" s="36">
        <v>163</v>
      </c>
      <c r="CO328" s="52" t="s">
        <v>0</v>
      </c>
    </row>
    <row r="329" spans="91:93" ht="39.950000000000003" hidden="1" customHeight="1" x14ac:dyDescent="0.25">
      <c r="CM329" s="31">
        <v>327</v>
      </c>
      <c r="CN329" s="36">
        <v>163.5</v>
      </c>
      <c r="CO329" s="52" t="s">
        <v>0</v>
      </c>
    </row>
    <row r="330" spans="91:93" ht="39.950000000000003" hidden="1" customHeight="1" x14ac:dyDescent="0.25">
      <c r="CM330" s="31">
        <v>328</v>
      </c>
      <c r="CN330" s="36">
        <v>164</v>
      </c>
      <c r="CO330" s="52" t="s">
        <v>0</v>
      </c>
    </row>
    <row r="331" spans="91:93" ht="39.950000000000003" hidden="1" customHeight="1" x14ac:dyDescent="0.25">
      <c r="CM331" s="31">
        <v>329</v>
      </c>
      <c r="CN331" s="36">
        <v>164.5</v>
      </c>
      <c r="CO331" s="52" t="s">
        <v>0</v>
      </c>
    </row>
    <row r="332" spans="91:93" ht="39.950000000000003" hidden="1" customHeight="1" x14ac:dyDescent="0.25">
      <c r="CM332" s="31">
        <v>330</v>
      </c>
      <c r="CN332" s="36">
        <v>165</v>
      </c>
      <c r="CO332" s="52" t="s">
        <v>0</v>
      </c>
    </row>
    <row r="333" spans="91:93" ht="39.950000000000003" hidden="1" customHeight="1" x14ac:dyDescent="0.25">
      <c r="CM333" s="31">
        <v>331</v>
      </c>
      <c r="CN333" s="36">
        <v>165.5</v>
      </c>
      <c r="CO333" s="52" t="s">
        <v>0</v>
      </c>
    </row>
    <row r="334" spans="91:93" ht="39.950000000000003" hidden="1" customHeight="1" x14ac:dyDescent="0.25">
      <c r="CM334" s="31">
        <v>332</v>
      </c>
      <c r="CN334" s="36">
        <v>166</v>
      </c>
      <c r="CO334" s="52" t="s">
        <v>0</v>
      </c>
    </row>
    <row r="335" spans="91:93" ht="39.950000000000003" hidden="1" customHeight="1" x14ac:dyDescent="0.25">
      <c r="CM335" s="31">
        <v>333</v>
      </c>
      <c r="CN335" s="36">
        <v>166.5</v>
      </c>
      <c r="CO335" s="52" t="s">
        <v>0</v>
      </c>
    </row>
    <row r="336" spans="91:93" ht="39.950000000000003" hidden="1" customHeight="1" x14ac:dyDescent="0.25">
      <c r="CM336" s="31">
        <v>334</v>
      </c>
      <c r="CN336" s="36">
        <v>167</v>
      </c>
      <c r="CO336" s="52" t="s">
        <v>0</v>
      </c>
    </row>
    <row r="337" spans="91:93" ht="39.950000000000003" hidden="1" customHeight="1" x14ac:dyDescent="0.25">
      <c r="CM337" s="31">
        <v>335</v>
      </c>
      <c r="CN337" s="36">
        <v>167.5</v>
      </c>
      <c r="CO337" s="52" t="s">
        <v>0</v>
      </c>
    </row>
    <row r="338" spans="91:93" ht="39.950000000000003" hidden="1" customHeight="1" x14ac:dyDescent="0.25">
      <c r="CM338" s="31">
        <v>336</v>
      </c>
      <c r="CN338" s="36">
        <v>168</v>
      </c>
      <c r="CO338" s="52" t="s">
        <v>0</v>
      </c>
    </row>
    <row r="339" spans="91:93" ht="39.950000000000003" hidden="1" customHeight="1" x14ac:dyDescent="0.25">
      <c r="CM339" s="31">
        <v>337</v>
      </c>
      <c r="CN339" s="36">
        <v>168.5</v>
      </c>
      <c r="CO339" s="52" t="s">
        <v>0</v>
      </c>
    </row>
    <row r="340" spans="91:93" ht="39.950000000000003" hidden="1" customHeight="1" x14ac:dyDescent="0.25">
      <c r="CM340" s="31">
        <v>338</v>
      </c>
      <c r="CN340" s="36">
        <v>169</v>
      </c>
      <c r="CO340" s="52" t="s">
        <v>0</v>
      </c>
    </row>
    <row r="341" spans="91:93" ht="39.950000000000003" hidden="1" customHeight="1" x14ac:dyDescent="0.25">
      <c r="CM341" s="31">
        <v>339</v>
      </c>
      <c r="CN341" s="36">
        <v>169.5</v>
      </c>
      <c r="CO341" s="52" t="s">
        <v>0</v>
      </c>
    </row>
    <row r="342" spans="91:93" ht="39.950000000000003" hidden="1" customHeight="1" x14ac:dyDescent="0.25">
      <c r="CM342" s="31">
        <v>340</v>
      </c>
      <c r="CN342" s="36">
        <v>170</v>
      </c>
      <c r="CO342" s="52" t="s">
        <v>0</v>
      </c>
    </row>
    <row r="343" spans="91:93" ht="39.950000000000003" hidden="1" customHeight="1" x14ac:dyDescent="0.25">
      <c r="CM343" s="31">
        <v>341</v>
      </c>
      <c r="CN343" s="36">
        <v>170.5</v>
      </c>
      <c r="CO343" s="52" t="s">
        <v>0</v>
      </c>
    </row>
    <row r="344" spans="91:93" ht="39.950000000000003" hidden="1" customHeight="1" x14ac:dyDescent="0.25">
      <c r="CM344" s="31">
        <v>342</v>
      </c>
      <c r="CN344" s="36">
        <v>171</v>
      </c>
      <c r="CO344" s="52" t="s">
        <v>0</v>
      </c>
    </row>
    <row r="345" spans="91:93" ht="39.950000000000003" hidden="1" customHeight="1" x14ac:dyDescent="0.25">
      <c r="CM345" s="31">
        <v>343</v>
      </c>
      <c r="CN345" s="36">
        <v>171.5</v>
      </c>
      <c r="CO345" s="52" t="s">
        <v>0</v>
      </c>
    </row>
    <row r="346" spans="91:93" ht="39.950000000000003" hidden="1" customHeight="1" x14ac:dyDescent="0.25">
      <c r="CM346" s="31">
        <v>344</v>
      </c>
      <c r="CN346" s="36">
        <v>172</v>
      </c>
      <c r="CO346" s="52" t="s">
        <v>0</v>
      </c>
    </row>
    <row r="347" spans="91:93" ht="39.950000000000003" hidden="1" customHeight="1" x14ac:dyDescent="0.25">
      <c r="CM347" s="31">
        <v>345</v>
      </c>
      <c r="CN347" s="36">
        <v>172.5</v>
      </c>
      <c r="CO347" s="52" t="s">
        <v>0</v>
      </c>
    </row>
    <row r="348" spans="91:93" ht="39.950000000000003" hidden="1" customHeight="1" x14ac:dyDescent="0.25">
      <c r="CM348" s="31">
        <v>346</v>
      </c>
      <c r="CN348" s="36">
        <v>173</v>
      </c>
      <c r="CO348" s="52" t="s">
        <v>0</v>
      </c>
    </row>
    <row r="349" spans="91:93" ht="39.950000000000003" hidden="1" customHeight="1" x14ac:dyDescent="0.25">
      <c r="CM349" s="31">
        <v>347</v>
      </c>
      <c r="CN349" s="36">
        <v>173.5</v>
      </c>
      <c r="CO349" s="52" t="s">
        <v>0</v>
      </c>
    </row>
    <row r="350" spans="91:93" ht="39.950000000000003" hidden="1" customHeight="1" x14ac:dyDescent="0.25">
      <c r="CM350" s="31">
        <v>348</v>
      </c>
      <c r="CN350" s="36">
        <v>174</v>
      </c>
      <c r="CO350" s="52" t="s">
        <v>0</v>
      </c>
    </row>
    <row r="351" spans="91:93" ht="39.950000000000003" hidden="1" customHeight="1" x14ac:dyDescent="0.25">
      <c r="CM351" s="31">
        <v>349</v>
      </c>
      <c r="CN351" s="36">
        <v>174.5</v>
      </c>
      <c r="CO351" s="52" t="s">
        <v>0</v>
      </c>
    </row>
    <row r="352" spans="91:93" ht="39.950000000000003" hidden="1" customHeight="1" x14ac:dyDescent="0.25">
      <c r="CM352" s="31">
        <v>350</v>
      </c>
      <c r="CN352" s="36">
        <v>175</v>
      </c>
      <c r="CO352" s="52" t="s">
        <v>0</v>
      </c>
    </row>
    <row r="353" spans="91:93" ht="39.950000000000003" hidden="1" customHeight="1" x14ac:dyDescent="0.25">
      <c r="CM353" s="31">
        <v>351</v>
      </c>
      <c r="CN353" s="36">
        <v>175.5</v>
      </c>
      <c r="CO353" s="52" t="s">
        <v>0</v>
      </c>
    </row>
    <row r="354" spans="91:93" ht="39.950000000000003" hidden="1" customHeight="1" x14ac:dyDescent="0.25">
      <c r="CM354" s="31">
        <v>352</v>
      </c>
      <c r="CN354" s="36">
        <v>176</v>
      </c>
      <c r="CO354" s="52" t="s">
        <v>0</v>
      </c>
    </row>
    <row r="355" spans="91:93" ht="39.950000000000003" hidden="1" customHeight="1" x14ac:dyDescent="0.25">
      <c r="CM355" s="31">
        <v>353</v>
      </c>
      <c r="CN355" s="36">
        <v>176.5</v>
      </c>
      <c r="CO355" s="52" t="s">
        <v>0</v>
      </c>
    </row>
    <row r="356" spans="91:93" ht="39.950000000000003" hidden="1" customHeight="1" x14ac:dyDescent="0.25">
      <c r="CM356" s="31">
        <v>354</v>
      </c>
      <c r="CN356" s="36">
        <v>177</v>
      </c>
      <c r="CO356" s="52" t="s">
        <v>0</v>
      </c>
    </row>
    <row r="357" spans="91:93" ht="39.950000000000003" hidden="1" customHeight="1" x14ac:dyDescent="0.25">
      <c r="CM357" s="31">
        <v>355</v>
      </c>
      <c r="CN357" s="36">
        <v>177.5</v>
      </c>
      <c r="CO357" s="52" t="s">
        <v>0</v>
      </c>
    </row>
    <row r="358" spans="91:93" ht="39.950000000000003" hidden="1" customHeight="1" x14ac:dyDescent="0.25">
      <c r="CM358" s="31">
        <v>356</v>
      </c>
      <c r="CN358" s="36">
        <v>178</v>
      </c>
      <c r="CO358" s="52" t="s">
        <v>0</v>
      </c>
    </row>
    <row r="359" spans="91:93" ht="39.950000000000003" hidden="1" customHeight="1" x14ac:dyDescent="0.25">
      <c r="CM359" s="31">
        <v>357</v>
      </c>
      <c r="CN359" s="36">
        <v>178.5</v>
      </c>
      <c r="CO359" s="52" t="s">
        <v>0</v>
      </c>
    </row>
    <row r="360" spans="91:93" ht="39.950000000000003" hidden="1" customHeight="1" x14ac:dyDescent="0.25">
      <c r="CM360" s="31">
        <v>358</v>
      </c>
      <c r="CN360" s="36">
        <v>179</v>
      </c>
      <c r="CO360" s="52" t="s">
        <v>0</v>
      </c>
    </row>
    <row r="361" spans="91:93" ht="39.950000000000003" hidden="1" customHeight="1" x14ac:dyDescent="0.25">
      <c r="CM361" s="31">
        <v>359</v>
      </c>
      <c r="CN361" s="36">
        <v>179.5</v>
      </c>
      <c r="CO361" s="52" t="s">
        <v>0</v>
      </c>
    </row>
    <row r="362" spans="91:93" ht="39.950000000000003" hidden="1" customHeight="1" x14ac:dyDescent="0.25">
      <c r="CM362" s="31">
        <v>360</v>
      </c>
      <c r="CN362" s="36">
        <v>180</v>
      </c>
      <c r="CO362" s="52" t="s">
        <v>0</v>
      </c>
    </row>
    <row r="363" spans="91:93" ht="9.9499999999999993" hidden="1" customHeight="1" x14ac:dyDescent="0.25"/>
  </sheetData>
  <sheetProtection algorithmName="SHA-512" hashValue="B5ych+fODZOPFrjO7syd9hS3DUKTz8UrueltII9Gsup4sJPWmpwXKTaD4/XRbshIOW2H2DdDPL9NAVAtFiR4cQ==" saltValue="86exZiSdjX9Iv4ynF3kB8Q==" spinCount="100000" sheet="1" objects="1" scenarios="1" selectLockedCells="1"/>
  <mergeCells count="25">
    <mergeCell ref="X28:Z28"/>
    <mergeCell ref="S1:S28"/>
    <mergeCell ref="M1:M14"/>
    <mergeCell ref="T1:T28"/>
    <mergeCell ref="N1:N14"/>
    <mergeCell ref="W1:W28"/>
    <mergeCell ref="X2:X27"/>
    <mergeCell ref="O1:O14"/>
    <mergeCell ref="F1:F14"/>
    <mergeCell ref="E1:E14"/>
    <mergeCell ref="C1:C14"/>
    <mergeCell ref="Z2:Z27"/>
    <mergeCell ref="Y2:Y27"/>
    <mergeCell ref="X1:Z1"/>
    <mergeCell ref="A28:B28"/>
    <mergeCell ref="D1:D14"/>
    <mergeCell ref="A27:B27"/>
    <mergeCell ref="A1:A14"/>
    <mergeCell ref="B1:B14"/>
    <mergeCell ref="K1:K14"/>
    <mergeCell ref="L1:L14"/>
    <mergeCell ref="G1:G14"/>
    <mergeCell ref="H1:H14"/>
    <mergeCell ref="I1:I14"/>
    <mergeCell ref="J1:J14"/>
  </mergeCells>
  <phoneticPr fontId="4" type="noConversion"/>
  <dataValidations count="9">
    <dataValidation type="list" allowBlank="1" showInputMessage="1" showErrorMessage="1" sqref="BJ15:BJ26" xr:uid="{00000000-0002-0000-0000-00001D000000}">
      <formula1>"Yok, Var"</formula1>
    </dataValidation>
    <dataValidation type="list" allowBlank="1" showInputMessage="1" showErrorMessage="1" sqref="L15:L26" xr:uid="{61F23567-261B-4E28-ACE8-0EA9824B7919}">
      <formula1>$CO$2:$CO$50</formula1>
    </dataValidation>
    <dataValidation type="list" allowBlank="1" showInputMessage="1" showErrorMessage="1" sqref="S1:S28" xr:uid="{9054E20C-415A-4A28-9A83-E6387959DADB}">
      <formula1>"Ocak, Şubat, Mart, Nisan, Mayıs, Haziran, Temmuz, Ağustos, Eylül, Ekim, Kasım, Aralık, Yıllık Toplam, Yıllık Ortalama"</formula1>
    </dataValidation>
    <dataValidation type="list" allowBlank="1" showInputMessage="1" showErrorMessage="1" sqref="AI12" xr:uid="{E78907BA-7A5C-4BC5-9626-30F7C79A3DA3}">
      <formula1>#REF!</formula1>
    </dataValidation>
    <dataValidation type="list" allowBlank="1" showInputMessage="1" showErrorMessage="1" sqref="D15:E26" xr:uid="{D16C9647-72F6-4D86-BCEE-3739AC9AC5F3}">
      <formula1>$CN$2:$CN$362</formula1>
    </dataValidation>
    <dataValidation type="list" allowBlank="1" showInputMessage="1" showErrorMessage="1" sqref="F15:H26 CB8:CB14 BO1:BO5 BY8:BY14 BL1:BL5 BS8:BS14 BF1:BF5 C15:C26" xr:uid="{65FACC1D-9377-4225-8D3E-97700607B264}">
      <formula1>$CM$2:$CM$362</formula1>
    </dataValidation>
    <dataValidation type="list" allowBlank="1" showInputMessage="1" showErrorMessage="1" sqref="W1" xr:uid="{F853FCC4-C3B8-4272-9BE3-E548C91B3D0F}">
      <formula1>$U$1:$U$14</formula1>
    </dataValidation>
    <dataValidation type="list" allowBlank="1" showInputMessage="1" showErrorMessage="1" sqref="A1:A14" xr:uid="{AE81A231-50A0-4C37-89AE-F70005CB0F11}">
      <formula1>$AA$1:$AA$21</formula1>
    </dataValidation>
    <dataValidation type="list" allowBlank="1" showInputMessage="1" showErrorMessage="1" sqref="I15:K26" xr:uid="{2635AB69-66FA-44F0-8103-8850B05613A8}">
      <formula1>$CK$1:$CK$10</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cp:lastModifiedBy>
  <cp:lastPrinted>2021-01-27T16:23:43Z</cp:lastPrinted>
  <dcterms:created xsi:type="dcterms:W3CDTF">2015-06-05T18:19:34Z</dcterms:created>
  <dcterms:modified xsi:type="dcterms:W3CDTF">2022-08-30T09:03:01Z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