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BuÇalışmaKitabı" autoCompressPictures="0" defaultThemeVersion="124226"/>
  <mc:AlternateContent xmlns:mc="http://schemas.openxmlformats.org/markup-compatibility/2006">
    <mc:Choice Requires="x15">
      <x15ac:absPath xmlns:x15ac="http://schemas.microsoft.com/office/spreadsheetml/2010/11/ac" url="D:\Arif Gürer\Web Sayfası\Ödenekler Hesabı\01 - Genel Çalışmalar\Ödenekler Hesabı\"/>
    </mc:Choice>
  </mc:AlternateContent>
  <xr:revisionPtr revIDLastSave="0" documentId="13_ncr:1_{D6A31300-1B0F-4EC4-B4B2-EA528711A21A}" xr6:coauthVersionLast="47" xr6:coauthVersionMax="47" xr10:uidLastSave="{00000000-0000-0000-0000-000000000000}"/>
  <workbookProtection workbookAlgorithmName="SHA-512" workbookHashValue="qfJIAJiq+OKwlIfBs0+RkxmOPjGqh0cyyds2jgo9U8E3P0loOFdOjxQlgEPwGs7LREVBmMd9FNnjr65ublc1rA==" workbookSaltValue="bMGtXz9ivUiO930pT+Q52A==" workbookSpinCount="100000" lockStructure="1"/>
  <bookViews>
    <workbookView xWindow="-120" yWindow="-120" windowWidth="29040" windowHeight="15840" xr2:uid="{00000000-000D-0000-FFFF-FFFF00000000}"/>
  </bookViews>
  <sheets>
    <sheet name="Özet Tablo" sheetId="130" r:id="rId1"/>
  </sheets>
  <definedNames>
    <definedName name="_xlnm._FilterDatabase" localSheetId="0" hidden="1">'Özet Tablo'!#REF!</definedName>
    <definedName name="Bartın_854">'Özet Tablo'!#REF!</definedName>
    <definedName name="Çanakkale_4857">'Özet Tablo'!#REF!</definedName>
    <definedName name="Çanakkale_854">'Özet Tablo'!#REF!</definedName>
    <definedName name="İST_K_4857">'Özet Tablo'!#REF!</definedName>
    <definedName name="İST_K_854">'Özet Tablo'!#REF!</definedName>
    <definedName name="İST_K_854_Deniz_Taksi">'Özet Tablo'!#REF!</definedName>
    <definedName name="İST_K_Güvenlik_Kapsam_Dışı">'Özet Tablo'!#REF!</definedName>
    <definedName name="İST_K_Kafe_Kapsam_Dışı">'Özet Tablo'!#REF!</definedName>
    <definedName name="İST_K_Temizlik_Kapsam_Dışı">'Özet Tablo'!#REF!</definedName>
    <definedName name="İST_Ö_4857">'Özet Tablo'!#REF!</definedName>
    <definedName name="İST_Ö_854">'Özet Tablo'!#REF!</definedName>
    <definedName name="İzmir_4857">'Özet Tablo'!#REF!</definedName>
    <definedName name="İzmir_854">'Özet Tablo'!#REF!</definedName>
    <definedName name="Zonguldak_854">'Özet Tablo'!#REF!</definedName>
  </definedNames>
  <calcPr calcId="181029" iterate="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R7" i="130" l="1"/>
  <c r="BS7" i="130"/>
  <c r="BR8" i="130"/>
  <c r="BS8" i="130"/>
  <c r="BR9" i="130"/>
  <c r="BS9" i="130"/>
  <c r="AU4" i="130"/>
  <c r="AV4" i="130"/>
  <c r="AU5" i="130"/>
  <c r="AV5" i="130"/>
  <c r="AU6" i="130"/>
  <c r="AV6" i="130"/>
  <c r="AU7" i="130"/>
  <c r="AV7" i="130"/>
  <c r="BB23" i="130"/>
  <c r="BC23" i="130"/>
  <c r="BF24" i="130"/>
  <c r="BG24" i="130"/>
  <c r="BR1" i="130"/>
  <c r="BS1" i="130"/>
  <c r="BR2" i="130"/>
  <c r="BS2" i="130"/>
  <c r="BQ7" i="130"/>
  <c r="BQ8" i="130"/>
  <c r="BQ9" i="130"/>
  <c r="AT4" i="130"/>
  <c r="AT5" i="130"/>
  <c r="AT6" i="130"/>
  <c r="AT7" i="130"/>
  <c r="BA23" i="130"/>
  <c r="BE24" i="130"/>
  <c r="BQ1" i="130"/>
  <c r="BQ2" i="130"/>
  <c r="BN14" i="130"/>
  <c r="BN15" i="130"/>
  <c r="BS10" i="130"/>
  <c r="AS4" i="130"/>
  <c r="AS5" i="130"/>
  <c r="AS6" i="130"/>
  <c r="AS7" i="130"/>
  <c r="AZ23" i="130"/>
  <c r="BD24" i="130"/>
  <c r="BP1" i="130"/>
  <c r="BP2" i="130"/>
  <c r="BN13" i="130"/>
  <c r="BE25" i="130"/>
  <c r="BE26" i="130"/>
  <c r="BE27" i="130"/>
  <c r="AZ4" i="130"/>
  <c r="AZ5" i="130"/>
  <c r="AZ6" i="130"/>
  <c r="AZ7" i="130"/>
  <c r="BG23" i="130"/>
  <c r="BK24" i="130"/>
  <c r="AU16" i="130"/>
  <c r="AU17" i="130"/>
  <c r="BO13" i="130"/>
  <c r="BG19" i="130"/>
  <c r="BG20" i="130"/>
  <c r="BG21" i="130"/>
  <c r="BF4" i="130"/>
  <c r="BF5" i="130"/>
  <c r="BF6" i="130"/>
  <c r="BF7" i="130"/>
  <c r="BM23" i="130"/>
  <c r="BA25" i="130"/>
  <c r="BA26" i="130"/>
  <c r="BK22" i="130"/>
  <c r="BG18" i="130"/>
  <c r="BE19" i="130"/>
  <c r="BE20" i="130"/>
  <c r="BE21" i="130"/>
  <c r="BD4" i="130"/>
  <c r="BD5" i="130"/>
  <c r="BD6" i="130"/>
  <c r="BD7" i="130"/>
  <c r="BK23" i="130"/>
  <c r="BO24" i="130"/>
  <c r="AY16" i="130"/>
  <c r="AY17" i="130"/>
  <c r="BE18" i="130"/>
  <c r="BC19" i="130"/>
  <c r="BC20" i="130"/>
  <c r="BC21" i="130"/>
  <c r="BB4" i="130"/>
  <c r="BB5" i="130"/>
  <c r="BB6" i="130"/>
  <c r="BB7" i="130"/>
  <c r="BI23" i="130"/>
  <c r="BM24" i="130"/>
  <c r="AW16" i="130"/>
  <c r="AW17" i="130"/>
  <c r="BC18" i="130"/>
  <c r="L27" i="130"/>
  <c r="K27" i="130"/>
  <c r="J27" i="130"/>
  <c r="I27" i="130"/>
  <c r="AS16" i="130" l="1"/>
  <c r="AX6" i="130"/>
  <c r="AX5" i="130"/>
  <c r="BC26" i="130"/>
  <c r="BC25" i="130"/>
  <c r="BI24" i="130"/>
  <c r="BE23" i="130"/>
  <c r="AS17" i="130"/>
  <c r="AX7" i="130"/>
  <c r="AX4" i="130"/>
  <c r="BC27" i="130"/>
  <c r="AQ22" i="130"/>
  <c r="AQ23" i="130" s="1"/>
  <c r="AO22" i="130"/>
  <c r="AO23" i="130" s="1"/>
  <c r="AM22" i="130"/>
  <c r="AM23" i="130" s="1"/>
  <c r="AK22" i="130"/>
  <c r="AK23" i="130" s="1"/>
  <c r="BO10" i="130"/>
  <c r="BN10" i="130"/>
  <c r="BM10" i="130"/>
  <c r="V10" i="130" l="1"/>
  <c r="U10" i="130" s="1"/>
  <c r="BQ10" i="130"/>
  <c r="V12" i="130"/>
  <c r="U12" i="130" s="1"/>
  <c r="V11" i="130"/>
  <c r="U11" i="130" s="1"/>
  <c r="AR7" i="130"/>
  <c r="AY23" i="130"/>
  <c r="BC24" i="130"/>
  <c r="BO1" i="130"/>
  <c r="BO2" i="130"/>
  <c r="AR6" i="130"/>
  <c r="BM14" i="130"/>
  <c r="BM15" i="130"/>
  <c r="BJ22" i="130"/>
  <c r="AR4" i="130"/>
  <c r="AR5" i="130"/>
  <c r="BM13" i="130"/>
  <c r="B1" i="130"/>
  <c r="AR12" i="130"/>
  <c r="AR11" i="130"/>
  <c r="AR22" i="130"/>
  <c r="AR21" i="130"/>
  <c r="AR20" i="130"/>
  <c r="AR19" i="130"/>
  <c r="AR3" i="130"/>
  <c r="AR2" i="130"/>
  <c r="AR1" i="130"/>
  <c r="AR18" i="130"/>
  <c r="BA17" i="130"/>
  <c r="BA16" i="130"/>
  <c r="AP12" i="130"/>
  <c r="AP11" i="130"/>
  <c r="AP19" i="130"/>
  <c r="AP18" i="130"/>
  <c r="AP17" i="130"/>
  <c r="AP16" i="130"/>
  <c r="AP3" i="130"/>
  <c r="AP2" i="130"/>
  <c r="AP1" i="130"/>
  <c r="AP15" i="130"/>
  <c r="AP14" i="130"/>
  <c r="AP13" i="130"/>
  <c r="AN17" i="130"/>
  <c r="AN18" i="130"/>
  <c r="AN19" i="130"/>
  <c r="AN11" i="130"/>
  <c r="AN12" i="130"/>
  <c r="AN16" i="130"/>
  <c r="AN14" i="130"/>
  <c r="AN15" i="130"/>
  <c r="AN1" i="130"/>
  <c r="AN2" i="130"/>
  <c r="AN3" i="130"/>
  <c r="AN13" i="130"/>
  <c r="H27" i="130"/>
  <c r="AI22" i="130" l="1"/>
  <c r="AI23" i="130" s="1"/>
  <c r="BK17" i="130"/>
  <c r="BB18" i="130"/>
  <c r="BB1" i="130"/>
  <c r="BB2" i="130"/>
  <c r="BB3" i="130"/>
  <c r="BB19" i="130"/>
  <c r="BB20" i="130"/>
  <c r="BB21" i="130"/>
  <c r="BB22" i="130"/>
  <c r="BB11" i="130"/>
  <c r="BB12" i="130"/>
  <c r="BK16" i="130"/>
  <c r="BE17" i="130"/>
  <c r="AV18" i="130"/>
  <c r="AV1" i="130"/>
  <c r="AV2" i="130"/>
  <c r="AV3" i="130"/>
  <c r="AV19" i="130"/>
  <c r="AV20" i="130"/>
  <c r="AV21" i="130"/>
  <c r="AV22" i="130"/>
  <c r="AV11" i="130"/>
  <c r="AV12" i="130"/>
  <c r="BE16" i="130"/>
  <c r="V9" i="130" l="1"/>
  <c r="U9" i="130" s="1"/>
  <c r="AX3" i="130"/>
  <c r="AZ3" i="130"/>
  <c r="AX19" i="130"/>
  <c r="AZ19" i="130"/>
  <c r="AX20" i="130"/>
  <c r="AZ20" i="130"/>
  <c r="AZ21" i="130"/>
  <c r="AX21" i="130"/>
  <c r="AX22" i="130"/>
  <c r="AZ22" i="130"/>
  <c r="AX11" i="130"/>
  <c r="AZ11" i="130"/>
  <c r="AX12" i="130"/>
  <c r="AZ12" i="130"/>
  <c r="BI16" i="130"/>
  <c r="BG16" i="130"/>
  <c r="BG17" i="130"/>
  <c r="BI17" i="130"/>
  <c r="AX18" i="130"/>
  <c r="AZ18" i="130"/>
  <c r="AZ1" i="130"/>
  <c r="AX1" i="130"/>
  <c r="AX2" i="130"/>
  <c r="AZ2" i="130"/>
  <c r="BX4" i="130" l="1"/>
  <c r="BX5" i="130"/>
  <c r="BX6" i="130"/>
  <c r="BX7" i="130"/>
  <c r="BX8" i="130"/>
  <c r="BX9" i="130"/>
  <c r="BX10" i="130"/>
  <c r="BX11" i="130"/>
  <c r="BX12" i="130"/>
  <c r="BX13" i="130"/>
  <c r="BX14" i="130"/>
  <c r="BX3" i="130"/>
  <c r="BW4" i="130"/>
  <c r="BW5" i="130"/>
  <c r="BW6" i="130"/>
  <c r="BW7" i="130"/>
  <c r="BW8" i="130"/>
  <c r="BW9" i="130"/>
  <c r="BW10" i="130"/>
  <c r="BW11" i="130"/>
  <c r="BW12" i="130"/>
  <c r="BW13" i="130"/>
  <c r="BW14" i="130"/>
  <c r="BW3" i="130"/>
  <c r="BC3" i="130" l="1"/>
  <c r="AH9" i="130"/>
  <c r="AH10" i="130"/>
  <c r="AH24" i="130"/>
  <c r="BC11" i="130"/>
  <c r="BC12" i="130"/>
  <c r="AH8" i="130"/>
  <c r="AK9" i="130"/>
  <c r="BI19" i="130"/>
  <c r="AK10" i="130"/>
  <c r="BI20" i="130"/>
  <c r="AK24" i="130"/>
  <c r="AO24" i="130"/>
  <c r="BF11" i="130"/>
  <c r="AO25" i="130"/>
  <c r="BF12" i="130"/>
  <c r="AO26" i="130"/>
  <c r="AK8" i="130"/>
  <c r="BI18" i="130"/>
  <c r="AR14" i="130"/>
  <c r="AU14" i="130"/>
  <c r="AY14" i="130"/>
  <c r="AR15" i="130"/>
  <c r="AU15" i="130"/>
  <c r="AY15" i="130"/>
  <c r="BC1" i="130"/>
  <c r="BF1" i="130"/>
  <c r="BJ1" i="130"/>
  <c r="BC2" i="130"/>
  <c r="BF2" i="130"/>
  <c r="BJ2" i="130"/>
  <c r="BF3" i="130"/>
  <c r="BJ3" i="130"/>
  <c r="AR13" i="130" l="1"/>
  <c r="AZ26" i="130" l="1"/>
  <c r="AZ25" i="130"/>
  <c r="AZ24" i="130"/>
  <c r="AV23" i="130"/>
  <c r="AO7" i="130"/>
  <c r="AO6" i="130"/>
  <c r="AO5" i="130"/>
  <c r="AO4" i="130"/>
  <c r="BG22" i="130"/>
  <c r="BJ15" i="130"/>
  <c r="BJ14" i="130"/>
  <c r="BJ13" i="130"/>
  <c r="CV2" i="130" l="1"/>
  <c r="CU2" i="130"/>
  <c r="CH14" i="130"/>
  <c r="CH13" i="130"/>
  <c r="CH12" i="130"/>
  <c r="CH11" i="130"/>
  <c r="CH10" i="130"/>
  <c r="CH9" i="130"/>
  <c r="BN6" i="130"/>
  <c r="BN5" i="130"/>
  <c r="BN4" i="130"/>
  <c r="BN3" i="130"/>
  <c r="CH4" i="130"/>
  <c r="CH3" i="130"/>
  <c r="CG10" i="130"/>
  <c r="CG11" i="130"/>
  <c r="CG12" i="130"/>
  <c r="CG13" i="130"/>
  <c r="CI13" i="130" s="1"/>
  <c r="CG14" i="130"/>
  <c r="CI14" i="130" s="1"/>
  <c r="CG9" i="130"/>
  <c r="CG4" i="130"/>
  <c r="BM3" i="130"/>
  <c r="BM4" i="130"/>
  <c r="BM5" i="130"/>
  <c r="BM6" i="130"/>
  <c r="CG3" i="130"/>
  <c r="CI3" i="130" l="1"/>
  <c r="CI12" i="130"/>
  <c r="BO4" i="130"/>
  <c r="CI9" i="130"/>
  <c r="CI4" i="130"/>
  <c r="BO5" i="130"/>
  <c r="BO6" i="130"/>
  <c r="CI11" i="130"/>
  <c r="CI10" i="130"/>
  <c r="BO3" i="130"/>
  <c r="AC2" i="130"/>
  <c r="BG14" i="130" l="1"/>
  <c r="BG15" i="130"/>
  <c r="BD22" i="130"/>
  <c r="AL4" i="130"/>
  <c r="AL5" i="130"/>
  <c r="AL6" i="130"/>
  <c r="AL7" i="130"/>
  <c r="AS23" i="130"/>
  <c r="AW24" i="130"/>
  <c r="AW25" i="130"/>
  <c r="AW26" i="130"/>
  <c r="BG13" i="130"/>
  <c r="BF14" i="130"/>
  <c r="BF15" i="130"/>
  <c r="BC22" i="130"/>
  <c r="AK4" i="130"/>
  <c r="AK5" i="130"/>
  <c r="AK6" i="130"/>
  <c r="AK7" i="130"/>
  <c r="AR23" i="130"/>
  <c r="AV24" i="130"/>
  <c r="AV25" i="130"/>
  <c r="AV26" i="130"/>
  <c r="BF13" i="130"/>
  <c r="BE14" i="130"/>
  <c r="BE15" i="130"/>
  <c r="BP16" i="130"/>
  <c r="AJ4" i="130"/>
  <c r="AJ5" i="130"/>
  <c r="AJ6" i="130"/>
  <c r="AJ7" i="130"/>
  <c r="BK21" i="130"/>
  <c r="AU24" i="130"/>
  <c r="AU25" i="130"/>
  <c r="AU26" i="130"/>
  <c r="BE13" i="130"/>
  <c r="AI4" i="130"/>
  <c r="BO16" i="130"/>
  <c r="BD14" i="130"/>
  <c r="BD15" i="130"/>
  <c r="BD13" i="130"/>
  <c r="AI5" i="130"/>
  <c r="AI6" i="130"/>
  <c r="AI7" i="130"/>
  <c r="BJ21" i="130"/>
  <c r="AT24" i="130"/>
  <c r="AT25" i="130"/>
  <c r="AT26" i="130"/>
  <c r="AY13" i="130"/>
  <c r="AU13" i="130"/>
  <c r="CT19" i="130" l="1"/>
  <c r="CT20" i="130"/>
  <c r="CT21" i="130"/>
  <c r="CT22" i="130"/>
  <c r="CT23" i="130"/>
  <c r="CT24" i="130"/>
  <c r="CT25" i="130"/>
  <c r="CT26" i="130"/>
  <c r="BI8" i="130"/>
  <c r="BI9" i="130"/>
  <c r="BI10" i="130"/>
  <c r="CT18" i="130"/>
  <c r="CN17" i="130"/>
  <c r="CM17" i="130"/>
  <c r="CA19" i="130"/>
  <c r="CB19" i="130" s="1"/>
  <c r="CA20" i="130"/>
  <c r="CB20" i="130" s="1"/>
  <c r="CA21" i="130"/>
  <c r="CB21" i="130" s="1"/>
  <c r="AX8" i="130"/>
  <c r="AY8" i="130" s="1"/>
  <c r="AX9" i="130"/>
  <c r="AY9" i="130" s="1"/>
  <c r="AX10" i="130"/>
  <c r="AY10" i="130" s="1"/>
  <c r="CA22" i="130"/>
  <c r="CB22" i="130" s="1"/>
  <c r="CA23" i="130"/>
  <c r="CB23" i="130" s="1"/>
  <c r="CA24" i="130"/>
  <c r="CB24" i="130" s="1"/>
  <c r="CA25" i="130"/>
  <c r="CB25" i="130" s="1"/>
  <c r="CA26" i="130"/>
  <c r="CB26" i="130" s="1"/>
  <c r="CA18" i="130"/>
  <c r="CB18" i="130" s="1"/>
  <c r="CH15" i="130"/>
  <c r="CH16" i="130" s="1"/>
  <c r="CG15" i="130"/>
  <c r="CG16" i="130" s="1"/>
  <c r="AH27" i="130" l="1"/>
  <c r="AH28" i="130" s="1"/>
  <c r="CA27" i="130"/>
  <c r="CA28" i="130" s="1"/>
  <c r="E27" i="130" l="1"/>
  <c r="D27" i="130"/>
  <c r="BA27" i="130"/>
  <c r="AR27" i="130"/>
  <c r="F27" i="130"/>
  <c r="CS4" i="130"/>
  <c r="CS5" i="130"/>
  <c r="CS6" i="130"/>
  <c r="CS7" i="130"/>
  <c r="CS8" i="130"/>
  <c r="CS9" i="130"/>
  <c r="CS10" i="130"/>
  <c r="CS11" i="130"/>
  <c r="CS12" i="130"/>
  <c r="CS13" i="130"/>
  <c r="CS14" i="130"/>
  <c r="CS3" i="130"/>
  <c r="CK4" i="130"/>
  <c r="BQ3" i="130"/>
  <c r="BQ4" i="130"/>
  <c r="BQ5" i="130"/>
  <c r="BQ6" i="130"/>
  <c r="CK9" i="130"/>
  <c r="CK10" i="130"/>
  <c r="CK11" i="130"/>
  <c r="CK12" i="130"/>
  <c r="CK13" i="130"/>
  <c r="CK14" i="130"/>
  <c r="CK3" i="130"/>
  <c r="CL3" i="130" s="1"/>
  <c r="DA11" i="130"/>
  <c r="DA13" i="130"/>
  <c r="DA14" i="130"/>
  <c r="DA4" i="130"/>
  <c r="CP4" i="130"/>
  <c r="CN3" i="130" l="1"/>
  <c r="CM3" i="130"/>
  <c r="AK27" i="130"/>
  <c r="AK28" i="130" s="1"/>
  <c r="CK15" i="130"/>
  <c r="CK16" i="130" s="1"/>
  <c r="CS15" i="130"/>
  <c r="CS16" i="130" s="1"/>
  <c r="AO27" i="130"/>
  <c r="AO28" i="130" s="1"/>
  <c r="BR5" i="130"/>
  <c r="CL11" i="130"/>
  <c r="CL13" i="130"/>
  <c r="CL14" i="130"/>
  <c r="DA12" i="130"/>
  <c r="DA10" i="130"/>
  <c r="AR10" i="130"/>
  <c r="AR9" i="130"/>
  <c r="AR8" i="130"/>
  <c r="DA6" i="130"/>
  <c r="DA5" i="130"/>
  <c r="DA3" i="130"/>
  <c r="CL12" i="130"/>
  <c r="BR6" i="130"/>
  <c r="CJ10" i="130"/>
  <c r="CL10" i="130"/>
  <c r="CL9" i="130"/>
  <c r="BR4" i="130"/>
  <c r="BR3" i="130"/>
  <c r="CL4" i="130"/>
  <c r="CN11" i="130" l="1"/>
  <c r="CM11" i="130"/>
  <c r="CN10" i="130"/>
  <c r="CM10" i="130"/>
  <c r="CN13" i="130"/>
  <c r="CM13" i="130"/>
  <c r="BT5" i="130"/>
  <c r="BS5" i="130"/>
  <c r="CN9" i="130"/>
  <c r="CM9" i="130"/>
  <c r="BT4" i="130"/>
  <c r="BS4" i="130"/>
  <c r="CN14" i="130"/>
  <c r="CM14" i="130"/>
  <c r="BT6" i="130"/>
  <c r="BS6" i="130"/>
  <c r="CN4" i="130"/>
  <c r="CM4" i="130"/>
  <c r="BT3" i="130"/>
  <c r="BS3" i="130"/>
  <c r="CN12" i="130"/>
  <c r="CM12" i="130"/>
  <c r="CL15" i="130"/>
  <c r="CL16" i="130" s="1"/>
  <c r="DA15" i="130"/>
  <c r="DA16" i="130" s="1"/>
  <c r="CJ13" i="130"/>
  <c r="CJ9" i="130"/>
  <c r="CJ12" i="130"/>
  <c r="CJ11" i="130"/>
  <c r="CJ14" i="130"/>
  <c r="BW15" i="130" l="1"/>
  <c r="BW16" i="130" s="1"/>
  <c r="BX15" i="130"/>
  <c r="BX16" i="130" s="1"/>
  <c r="BP6" i="130" l="1"/>
  <c r="BP5" i="130"/>
  <c r="BP4" i="130"/>
  <c r="BP3" i="130"/>
  <c r="CJ4" i="130"/>
  <c r="CJ3" i="130"/>
  <c r="CI15" i="130" l="1"/>
  <c r="CI16" i="130" s="1"/>
  <c r="CB27" i="130"/>
  <c r="CB28" i="130" s="1"/>
  <c r="CJ15" i="130"/>
  <c r="CJ16" i="130" s="1"/>
  <c r="CN15" i="130" l="1"/>
  <c r="CN16" i="130" s="1"/>
  <c r="CT3" i="130"/>
  <c r="DB3" i="130"/>
  <c r="CU3" i="130" l="1"/>
  <c r="AI13" i="130"/>
  <c r="AH14" i="130" s="1"/>
  <c r="AJ13" i="130" l="1"/>
  <c r="BC16" i="130" s="1"/>
  <c r="AK13" i="130"/>
  <c r="AL13" i="130" l="1"/>
  <c r="AI14" i="130"/>
  <c r="AH15" i="130" s="1"/>
  <c r="AJ14" i="130" l="1"/>
  <c r="BC17" i="130" s="1"/>
  <c r="AK14" i="130"/>
  <c r="AL14" i="130" l="1"/>
  <c r="AI15" i="130"/>
  <c r="AH1" i="130" s="1"/>
  <c r="AJ15" i="130" l="1"/>
  <c r="AT18" i="130" s="1"/>
  <c r="AK15" i="130"/>
  <c r="AL15" i="130" l="1"/>
  <c r="AI1" i="130"/>
  <c r="AH2" i="130" s="1"/>
  <c r="AJ1" i="130" l="1"/>
  <c r="AT1" i="130" s="1"/>
  <c r="AK1" i="130"/>
  <c r="AL1" i="130" l="1"/>
  <c r="AI2" i="130"/>
  <c r="AH3" i="130" s="1"/>
  <c r="AJ2" i="130" l="1"/>
  <c r="AT2" i="130" s="1"/>
  <c r="AK2" i="130"/>
  <c r="AL2" i="130" l="1"/>
  <c r="AI3" i="130"/>
  <c r="AH16" i="130" s="1"/>
  <c r="AK3" i="130" l="1"/>
  <c r="AJ3" i="130"/>
  <c r="AT3" i="130" s="1"/>
  <c r="AL3" i="130" l="1"/>
  <c r="AI16" i="130"/>
  <c r="AH17" i="130" s="1"/>
  <c r="AK16" i="130" l="1"/>
  <c r="AJ16" i="130"/>
  <c r="AT19" i="130" s="1"/>
  <c r="AL16" i="130" l="1"/>
  <c r="AI17" i="130"/>
  <c r="AH18" i="130" s="1"/>
  <c r="AJ17" i="130" l="1"/>
  <c r="AT20" i="130" s="1"/>
  <c r="AK17" i="130"/>
  <c r="AL17" i="130" l="1"/>
  <c r="AI18" i="130"/>
  <c r="AH19" i="130" s="1"/>
  <c r="AJ18" i="130" l="1"/>
  <c r="AT21" i="130" s="1"/>
  <c r="AK18" i="130"/>
  <c r="AL18" i="130" l="1"/>
  <c r="AI19" i="130"/>
  <c r="AH11" i="130" s="1"/>
  <c r="AK19" i="130" l="1"/>
  <c r="AJ19" i="130"/>
  <c r="AT22" i="130" s="1"/>
  <c r="AL19" i="130" l="1"/>
  <c r="AI11" i="130"/>
  <c r="AH12" i="130" s="1"/>
  <c r="AK11" i="130" l="1"/>
  <c r="AJ11" i="130"/>
  <c r="AT11" i="130" s="1"/>
  <c r="AL11" i="130" l="1"/>
  <c r="AI12" i="130"/>
  <c r="AJ12" i="130" l="1"/>
  <c r="AT12" i="130" s="1"/>
  <c r="AK12" i="130"/>
  <c r="AK20" i="130" s="1"/>
  <c r="AJ20" i="130" l="1"/>
  <c r="AL12" i="130"/>
  <c r="AL20" i="130" s="1"/>
  <c r="CP7" i="130" l="1"/>
  <c r="CP6" i="130"/>
  <c r="CP5" i="130"/>
  <c r="CR4" i="130" l="1"/>
  <c r="CR5" i="130" s="1"/>
  <c r="CR6" i="130" s="1"/>
  <c r="CR7" i="130" s="1"/>
  <c r="CT8" i="130" l="1"/>
  <c r="AS9" i="130"/>
  <c r="CT6" i="130"/>
  <c r="DB6" i="130"/>
  <c r="CT4" i="130"/>
  <c r="DB4" i="130"/>
  <c r="CU4" i="130" l="1"/>
  <c r="CV4" i="130" s="1"/>
  <c r="CT5" i="130"/>
  <c r="DB5" i="130"/>
  <c r="CT7" i="130"/>
  <c r="AS8" i="130"/>
  <c r="CU6" i="130"/>
  <c r="CV6" i="130" s="1"/>
  <c r="CU8" i="130"/>
  <c r="CV8" i="130" s="1"/>
  <c r="CU7" i="130"/>
  <c r="CV7" i="130" s="1"/>
  <c r="CU5" i="130" l="1"/>
  <c r="CV5" i="130" s="1"/>
  <c r="CT9" i="130"/>
  <c r="CU9" i="130" s="1"/>
  <c r="CV9" i="130" s="1"/>
  <c r="AS10" i="130"/>
  <c r="CT13" i="130" l="1"/>
  <c r="DB13" i="130"/>
  <c r="CT11" i="130"/>
  <c r="DB11" i="130"/>
  <c r="CT12" i="130"/>
  <c r="DB12" i="130"/>
  <c r="CT10" i="130"/>
  <c r="DB10" i="130"/>
  <c r="DB14" i="130"/>
  <c r="CU13" i="130" l="1"/>
  <c r="CV13" i="130" s="1"/>
  <c r="CU12" i="130"/>
  <c r="CV12" i="130" s="1"/>
  <c r="DB15" i="130"/>
  <c r="DB16" i="130" s="1"/>
  <c r="CM15" i="130"/>
  <c r="CM16" i="130" s="1"/>
  <c r="CU10" i="130"/>
  <c r="CV10" i="130" s="1"/>
  <c r="CU11" i="130"/>
  <c r="CV11" i="130" s="1"/>
  <c r="CT14" i="130"/>
  <c r="CT15" i="130" l="1"/>
  <c r="CT16" i="130" s="1"/>
  <c r="CU14" i="130"/>
  <c r="CV14" i="130" s="1"/>
  <c r="CW14" i="130" s="1"/>
  <c r="CV3" i="130"/>
  <c r="CW3" i="130" s="1"/>
  <c r="CX3" i="130" s="1"/>
  <c r="CY3" i="130" s="1"/>
  <c r="CR18" i="130" s="1"/>
  <c r="CW5" i="130"/>
  <c r="CW6" i="130"/>
  <c r="CW7" i="130"/>
  <c r="CW8" i="130"/>
  <c r="CW9" i="130"/>
  <c r="CW10" i="130"/>
  <c r="CW11" i="130"/>
  <c r="CW12" i="130"/>
  <c r="CW13" i="130"/>
  <c r="CX13" i="130" l="1"/>
  <c r="CY13" i="130" s="1"/>
  <c r="CR28" i="130" s="1"/>
  <c r="CX10" i="130"/>
  <c r="CY10" i="130" s="1"/>
  <c r="CR25" i="130" s="1"/>
  <c r="AO10" i="130"/>
  <c r="AQ10" i="130" s="1"/>
  <c r="CX6" i="130"/>
  <c r="CY6" i="130" s="1"/>
  <c r="CR21" i="130" s="1"/>
  <c r="CX12" i="130"/>
  <c r="CZ12" i="130" s="1"/>
  <c r="AO9" i="130"/>
  <c r="AQ9" i="130" s="1"/>
  <c r="CX5" i="130"/>
  <c r="CY5" i="130" s="1"/>
  <c r="CR20" i="130" s="1"/>
  <c r="CX11" i="130"/>
  <c r="CY11" i="130" s="1"/>
  <c r="CR26" i="130" s="1"/>
  <c r="AO8" i="130"/>
  <c r="AP8" i="130" s="1"/>
  <c r="CR22" i="130" s="1"/>
  <c r="CX14" i="130"/>
  <c r="CZ14" i="130" s="1"/>
  <c r="CZ3" i="130"/>
  <c r="CW4" i="130"/>
  <c r="CZ13" i="130" l="1"/>
  <c r="AQ8" i="130"/>
  <c r="CZ11" i="130"/>
  <c r="CZ5" i="130"/>
  <c r="CZ10" i="130"/>
  <c r="CY12" i="130"/>
  <c r="CR27" i="130" s="1"/>
  <c r="AP9" i="130"/>
  <c r="CR23" i="130" s="1"/>
  <c r="CX4" i="130"/>
  <c r="CY4" i="130" s="1"/>
  <c r="CR19" i="130" s="1"/>
  <c r="CY14" i="130"/>
  <c r="CR29" i="130" s="1"/>
  <c r="AP10" i="130"/>
  <c r="CR24" i="130" s="1"/>
  <c r="CZ6" i="130"/>
  <c r="CZ4" i="130"/>
  <c r="CR30" i="130" l="1"/>
  <c r="CR31" i="130" s="1"/>
  <c r="CY15" i="130"/>
  <c r="CY16" i="130" s="1"/>
  <c r="AT27" i="130" l="1"/>
  <c r="AT28" i="130" s="1"/>
  <c r="V6" i="130" l="1"/>
  <c r="U6" i="130" s="1"/>
  <c r="AW27" i="130" l="1"/>
  <c r="AW28" i="130" s="1"/>
  <c r="AU27" i="130"/>
  <c r="AU28" i="130" s="1"/>
  <c r="AV27" i="130"/>
  <c r="AV28" i="130" l="1"/>
  <c r="AN20" i="130"/>
  <c r="AN21" i="130" s="1"/>
  <c r="AP20" i="130"/>
  <c r="AP21" i="130" s="1"/>
  <c r="BI11" i="130" l="1"/>
  <c r="BI12" i="130" s="1"/>
  <c r="BK11" i="130"/>
  <c r="BK12" i="130" l="1"/>
  <c r="V1" i="130" s="1"/>
  <c r="U1" i="130" s="1"/>
  <c r="BM11" i="130"/>
  <c r="BM12" i="130" s="1"/>
  <c r="V2" i="130" s="1"/>
  <c r="U2" i="130" s="1"/>
  <c r="BO11" i="130"/>
  <c r="BO12" i="130" s="1"/>
  <c r="V3" i="130" s="1"/>
  <c r="U3" i="130" s="1"/>
  <c r="BQ11" i="130"/>
  <c r="BQ12" i="130" l="1"/>
  <c r="V4" i="130" s="1"/>
  <c r="U4" i="130" s="1"/>
  <c r="BS11" i="130"/>
  <c r="BS12" i="130" s="1"/>
  <c r="V5" i="130" s="1"/>
  <c r="U5" i="130" s="1"/>
  <c r="AZ27" i="130"/>
  <c r="AZ28" i="130" s="1"/>
  <c r="V7" i="130" l="1"/>
  <c r="U7" i="130" s="1"/>
  <c r="AH25" i="130"/>
  <c r="AH26" i="130" l="1"/>
  <c r="V8" i="130" s="1"/>
  <c r="U8" i="130" s="1"/>
  <c r="AM1" i="130"/>
  <c r="AO1" i="130"/>
  <c r="AQ1" i="130"/>
  <c r="AS1" i="130"/>
  <c r="AU1" i="130"/>
  <c r="AW1" i="130"/>
  <c r="AY1" i="130"/>
  <c r="BA1" i="130"/>
  <c r="BD1" i="130"/>
  <c r="BE1" i="130"/>
  <c r="BG1" i="130"/>
  <c r="BH1" i="130"/>
  <c r="BI1" i="130"/>
  <c r="BK1" i="130"/>
  <c r="BL1" i="130"/>
  <c r="BN1" i="130"/>
  <c r="BT1" i="130"/>
  <c r="AM2" i="130"/>
  <c r="AO2" i="130"/>
  <c r="AQ2" i="130"/>
  <c r="AS2" i="130"/>
  <c r="AU2" i="130"/>
  <c r="AW2" i="130"/>
  <c r="AY2" i="130"/>
  <c r="BA2" i="130"/>
  <c r="BD2" i="130"/>
  <c r="BE2" i="130"/>
  <c r="BG2" i="130"/>
  <c r="BH2" i="130"/>
  <c r="BI2" i="130"/>
  <c r="BK2" i="130"/>
  <c r="BL2" i="130"/>
  <c r="BN2" i="130"/>
  <c r="BT2" i="130"/>
  <c r="AM3" i="130"/>
  <c r="AO3" i="130"/>
  <c r="AQ3" i="130"/>
  <c r="AS3" i="130"/>
  <c r="AU3" i="130"/>
  <c r="AW3" i="130"/>
  <c r="AY3" i="130"/>
  <c r="BA3" i="130"/>
  <c r="BD3" i="130"/>
  <c r="BE3" i="130"/>
  <c r="BG3" i="130"/>
  <c r="BH3" i="130"/>
  <c r="BI3" i="130"/>
  <c r="BK3" i="130"/>
  <c r="BL3" i="130"/>
  <c r="BY3" i="130"/>
  <c r="CA3" i="130"/>
  <c r="CB3" i="130"/>
  <c r="CC3" i="130"/>
  <c r="CD3" i="130"/>
  <c r="CE3" i="130"/>
  <c r="AH4" i="130"/>
  <c r="AN4" i="130"/>
  <c r="AQ4" i="130"/>
  <c r="AW4" i="130"/>
  <c r="AY4" i="130"/>
  <c r="BA4" i="130"/>
  <c r="BC4" i="130"/>
  <c r="BE4" i="130"/>
  <c r="BG4" i="130"/>
  <c r="BH4" i="130"/>
  <c r="BI4" i="130"/>
  <c r="BJ4" i="130"/>
  <c r="BK4" i="130"/>
  <c r="BY4" i="130"/>
  <c r="CA4" i="130"/>
  <c r="CB4" i="130"/>
  <c r="CC4" i="130"/>
  <c r="CD4" i="130"/>
  <c r="CE4" i="130"/>
  <c r="AH5" i="130"/>
  <c r="AN5" i="130"/>
  <c r="AQ5" i="130"/>
  <c r="AW5" i="130"/>
  <c r="AY5" i="130"/>
  <c r="BA5" i="130"/>
  <c r="BC5" i="130"/>
  <c r="BE5" i="130"/>
  <c r="BG5" i="130"/>
  <c r="BH5" i="130"/>
  <c r="BI5" i="130"/>
  <c r="BJ5" i="130"/>
  <c r="BK5" i="130"/>
  <c r="BY5" i="130"/>
  <c r="AH6" i="130"/>
  <c r="AN6" i="130"/>
  <c r="AQ6" i="130"/>
  <c r="AW6" i="130"/>
  <c r="AY6" i="130"/>
  <c r="BA6" i="130"/>
  <c r="BC6" i="130"/>
  <c r="BE6" i="130"/>
  <c r="BG6" i="130"/>
  <c r="BH6" i="130"/>
  <c r="BI6" i="130"/>
  <c r="BJ6" i="130"/>
  <c r="BK6" i="130"/>
  <c r="BY6" i="130"/>
  <c r="AH7" i="130"/>
  <c r="AN7" i="130"/>
  <c r="AQ7" i="130"/>
  <c r="AW7" i="130"/>
  <c r="AY7" i="130"/>
  <c r="BA7" i="130"/>
  <c r="BC7" i="130"/>
  <c r="BE7" i="130"/>
  <c r="BG7" i="130"/>
  <c r="BH7" i="130"/>
  <c r="BI7" i="130"/>
  <c r="BJ7" i="130"/>
  <c r="BK7" i="130"/>
  <c r="BM7" i="130"/>
  <c r="BN7" i="130"/>
  <c r="BO7" i="130"/>
  <c r="BP7" i="130"/>
  <c r="BY7" i="130"/>
  <c r="AI8" i="130"/>
  <c r="AJ8" i="130"/>
  <c r="AL8" i="130"/>
  <c r="AM8" i="130"/>
  <c r="AN8" i="130"/>
  <c r="AU8" i="130"/>
  <c r="AV8" i="130"/>
  <c r="AW8" i="130"/>
  <c r="AZ8" i="130"/>
  <c r="BA8" i="130"/>
  <c r="BB8" i="130"/>
  <c r="BC8" i="130"/>
  <c r="BD8" i="130"/>
  <c r="BE8" i="130"/>
  <c r="BF8" i="130"/>
  <c r="BG8" i="130"/>
  <c r="BH8" i="130"/>
  <c r="BJ8" i="130"/>
  <c r="BK8" i="130"/>
  <c r="BL8" i="130"/>
  <c r="BM8" i="130"/>
  <c r="BN8" i="130"/>
  <c r="BO8" i="130"/>
  <c r="BP8" i="130"/>
  <c r="BY8" i="130"/>
  <c r="AI9" i="130"/>
  <c r="AJ9" i="130"/>
  <c r="AL9" i="130"/>
  <c r="AM9" i="130"/>
  <c r="AN9" i="130"/>
  <c r="AU9" i="130"/>
  <c r="AV9" i="130"/>
  <c r="AW9" i="130"/>
  <c r="AZ9" i="130"/>
  <c r="BA9" i="130"/>
  <c r="BB9" i="130"/>
  <c r="BC9" i="130"/>
  <c r="BD9" i="130"/>
  <c r="BE9" i="130"/>
  <c r="BF9" i="130"/>
  <c r="BG9" i="130"/>
  <c r="BH9" i="130"/>
  <c r="BJ9" i="130"/>
  <c r="BK9" i="130"/>
  <c r="BL9" i="130"/>
  <c r="BM9" i="130"/>
  <c r="BN9" i="130"/>
  <c r="BO9" i="130"/>
  <c r="BP9" i="130"/>
  <c r="BY9" i="130"/>
  <c r="CA9" i="130"/>
  <c r="CB9" i="130"/>
  <c r="CC9" i="130"/>
  <c r="CD9" i="130"/>
  <c r="CE9" i="130"/>
  <c r="AI10" i="130"/>
  <c r="AJ10" i="130"/>
  <c r="AL10" i="130"/>
  <c r="AM10" i="130"/>
  <c r="AN10" i="130"/>
  <c r="AU10" i="130"/>
  <c r="AV10" i="130"/>
  <c r="AW10" i="130"/>
  <c r="AZ10" i="130"/>
  <c r="BA10" i="130"/>
  <c r="BB10" i="130"/>
  <c r="BC10" i="130"/>
  <c r="BD10" i="130"/>
  <c r="BE10" i="130"/>
  <c r="BF10" i="130"/>
  <c r="BG10" i="130"/>
  <c r="BH10" i="130"/>
  <c r="BJ10" i="130"/>
  <c r="BK10" i="130"/>
  <c r="BL10" i="130"/>
  <c r="BP10" i="130"/>
  <c r="BR10" i="130"/>
  <c r="BY10" i="130"/>
  <c r="CA10" i="130"/>
  <c r="CB10" i="130"/>
  <c r="CC10" i="130"/>
  <c r="CD10" i="130"/>
  <c r="CE10" i="130"/>
  <c r="AM11" i="130"/>
  <c r="AO11" i="130"/>
  <c r="AQ11" i="130"/>
  <c r="AS11" i="130"/>
  <c r="AU11" i="130"/>
  <c r="AW11" i="130"/>
  <c r="AY11" i="130"/>
  <c r="BA11" i="130"/>
  <c r="BD11" i="130"/>
  <c r="BE11" i="130"/>
  <c r="BG11" i="130"/>
  <c r="BH11" i="130"/>
  <c r="BJ11" i="130"/>
  <c r="BL11" i="130"/>
  <c r="BN11" i="130"/>
  <c r="BP11" i="130"/>
  <c r="BR11" i="130"/>
  <c r="BY11" i="130"/>
  <c r="CA11" i="130"/>
  <c r="CB11" i="130"/>
  <c r="CC11" i="130"/>
  <c r="CD11" i="130"/>
  <c r="CE11" i="130"/>
  <c r="AM12" i="130"/>
  <c r="AO12" i="130"/>
  <c r="AQ12" i="130"/>
  <c r="AS12" i="130"/>
  <c r="AU12" i="130"/>
  <c r="AW12" i="130"/>
  <c r="AY12" i="130"/>
  <c r="BA12" i="130"/>
  <c r="BD12" i="130"/>
  <c r="BE12" i="130"/>
  <c r="BG12" i="130"/>
  <c r="BH12" i="130"/>
  <c r="BJ12" i="130"/>
  <c r="BL12" i="130"/>
  <c r="BN12" i="130"/>
  <c r="BP12" i="130"/>
  <c r="BR12" i="130"/>
  <c r="BY12" i="130"/>
  <c r="CA12" i="130"/>
  <c r="CB12" i="130"/>
  <c r="CC12" i="130"/>
  <c r="CD12" i="130"/>
  <c r="CE12" i="130"/>
  <c r="U13" i="130"/>
  <c r="V13" i="130"/>
  <c r="AM13" i="130"/>
  <c r="AO13" i="130"/>
  <c r="AQ13" i="130"/>
  <c r="AS13" i="130"/>
  <c r="AT13" i="130"/>
  <c r="AV13" i="130"/>
  <c r="AW13" i="130"/>
  <c r="AX13" i="130"/>
  <c r="AZ13" i="130"/>
  <c r="BA13" i="130"/>
  <c r="BC13" i="130"/>
  <c r="BI13" i="130"/>
  <c r="BL13" i="130"/>
  <c r="BP13" i="130"/>
  <c r="BY13" i="130"/>
  <c r="CA13" i="130"/>
  <c r="CB13" i="130"/>
  <c r="CC13" i="130"/>
  <c r="CD13" i="130"/>
  <c r="CE13" i="130"/>
  <c r="U14" i="130"/>
  <c r="V14" i="130"/>
  <c r="AM14" i="130"/>
  <c r="AO14" i="130"/>
  <c r="AQ14" i="130"/>
  <c r="AS14" i="130"/>
  <c r="AT14" i="130"/>
  <c r="AV14" i="130"/>
  <c r="AW14" i="130"/>
  <c r="AX14" i="130"/>
  <c r="AZ14" i="130"/>
  <c r="BA14" i="130"/>
  <c r="BC14" i="130"/>
  <c r="BI14" i="130"/>
  <c r="BL14" i="130"/>
  <c r="BY14" i="130"/>
  <c r="CA14" i="130"/>
  <c r="CB14" i="130"/>
  <c r="CC14" i="130"/>
  <c r="CD14" i="130"/>
  <c r="CE14" i="130"/>
  <c r="A15" i="130"/>
  <c r="Q15" i="130"/>
  <c r="R15" i="130"/>
  <c r="S15" i="130"/>
  <c r="U15" i="130"/>
  <c r="V15" i="130"/>
  <c r="AM15" i="130"/>
  <c r="AO15" i="130"/>
  <c r="AQ15" i="130"/>
  <c r="AS15" i="130"/>
  <c r="AT15" i="130"/>
  <c r="AV15" i="130"/>
  <c r="AW15" i="130"/>
  <c r="AX15" i="130"/>
  <c r="AZ15" i="130"/>
  <c r="BA15" i="130"/>
  <c r="BC15" i="130"/>
  <c r="BI15" i="130"/>
  <c r="BL15" i="130"/>
  <c r="BY15" i="130"/>
  <c r="CA15" i="130"/>
  <c r="CB15" i="130"/>
  <c r="CC15" i="130"/>
  <c r="CD15" i="130"/>
  <c r="CE15" i="130"/>
  <c r="A16" i="130"/>
  <c r="Q16" i="130"/>
  <c r="R16" i="130"/>
  <c r="S16" i="130"/>
  <c r="U16" i="130"/>
  <c r="V16" i="130"/>
  <c r="AM16" i="130"/>
  <c r="AO16" i="130"/>
  <c r="AQ16" i="130"/>
  <c r="AR16" i="130"/>
  <c r="AT16" i="130"/>
  <c r="AV16" i="130"/>
  <c r="AX16" i="130"/>
  <c r="AZ16" i="130"/>
  <c r="BB16" i="130"/>
  <c r="BD16" i="130"/>
  <c r="BF16" i="130"/>
  <c r="BH16" i="130"/>
  <c r="BJ16" i="130"/>
  <c r="BL16" i="130"/>
  <c r="BM16" i="130"/>
  <c r="BN16" i="130"/>
  <c r="BY16" i="130"/>
  <c r="CA16" i="130"/>
  <c r="CB16" i="130"/>
  <c r="CC16" i="130"/>
  <c r="CD16" i="130"/>
  <c r="CE16" i="130"/>
  <c r="A17" i="130"/>
  <c r="Q17" i="130"/>
  <c r="R17" i="130"/>
  <c r="S17" i="130"/>
  <c r="U17" i="130"/>
  <c r="V17" i="130"/>
  <c r="AM17" i="130"/>
  <c r="AO17" i="130"/>
  <c r="AQ17" i="130"/>
  <c r="AR17" i="130"/>
  <c r="AT17" i="130"/>
  <c r="AV17" i="130"/>
  <c r="AX17" i="130"/>
  <c r="AZ17" i="130"/>
  <c r="BB17" i="130"/>
  <c r="BD17" i="130"/>
  <c r="BF17" i="130"/>
  <c r="BH17" i="130"/>
  <c r="BJ17" i="130"/>
  <c r="BL17" i="130"/>
  <c r="A18" i="130"/>
  <c r="Q18" i="130"/>
  <c r="R18" i="130"/>
  <c r="S18" i="130"/>
  <c r="U18" i="130"/>
  <c r="V18" i="130"/>
  <c r="AM18" i="130"/>
  <c r="AO18" i="130"/>
  <c r="AQ18" i="130"/>
  <c r="AS18" i="130"/>
  <c r="AU18" i="130"/>
  <c r="AW18" i="130"/>
  <c r="AY18" i="130"/>
  <c r="BA18" i="130"/>
  <c r="BD18" i="130"/>
  <c r="BF18" i="130"/>
  <c r="BH18" i="130"/>
  <c r="BJ18" i="130"/>
  <c r="BK18" i="130"/>
  <c r="BL18" i="130"/>
  <c r="BX18" i="130"/>
  <c r="BY18" i="130"/>
  <c r="BZ18" i="130"/>
  <c r="CC18" i="130"/>
  <c r="CD18" i="130"/>
  <c r="CE18" i="130"/>
  <c r="CF18" i="130"/>
  <c r="CG18" i="130"/>
  <c r="CH18" i="130"/>
  <c r="CI18" i="130"/>
  <c r="CJ18" i="130"/>
  <c r="CK18" i="130"/>
  <c r="CL18" i="130"/>
  <c r="CM18" i="130"/>
  <c r="CN18" i="130"/>
  <c r="CO18" i="130"/>
  <c r="CP18" i="130"/>
  <c r="CQ18" i="130"/>
  <c r="CS18" i="130"/>
  <c r="CU18" i="130"/>
  <c r="CV18" i="130"/>
  <c r="CW18" i="130"/>
  <c r="CX18" i="130"/>
  <c r="CY18" i="130"/>
  <c r="CZ18" i="130"/>
  <c r="DA18" i="130"/>
  <c r="A19" i="130"/>
  <c r="Q19" i="130"/>
  <c r="R19" i="130"/>
  <c r="S19" i="130"/>
  <c r="U19" i="130"/>
  <c r="V19" i="130"/>
  <c r="AM19" i="130"/>
  <c r="AO19" i="130"/>
  <c r="AQ19" i="130"/>
  <c r="AS19" i="130"/>
  <c r="AU19" i="130"/>
  <c r="AW19" i="130"/>
  <c r="AY19" i="130"/>
  <c r="BA19" i="130"/>
  <c r="BD19" i="130"/>
  <c r="BF19" i="130"/>
  <c r="BH19" i="130"/>
  <c r="BJ19" i="130"/>
  <c r="BK19" i="130"/>
  <c r="BL19" i="130"/>
  <c r="BX19" i="130"/>
  <c r="BY19" i="130"/>
  <c r="BZ19" i="130"/>
  <c r="CC19" i="130"/>
  <c r="CD19" i="130"/>
  <c r="CE19" i="130"/>
  <c r="CF19" i="130"/>
  <c r="CG19" i="130"/>
  <c r="CH19" i="130"/>
  <c r="CI19" i="130"/>
  <c r="CJ19" i="130"/>
  <c r="CK19" i="130"/>
  <c r="CL19" i="130"/>
  <c r="CM19" i="130"/>
  <c r="CN19" i="130"/>
  <c r="CO19" i="130"/>
  <c r="CP19" i="130"/>
  <c r="CQ19" i="130"/>
  <c r="CS19" i="130"/>
  <c r="CU19" i="130"/>
  <c r="CV19" i="130"/>
  <c r="CW19" i="130"/>
  <c r="CX19" i="130"/>
  <c r="CY19" i="130"/>
  <c r="CZ19" i="130"/>
  <c r="DA19" i="130"/>
  <c r="A20" i="130"/>
  <c r="Q20" i="130"/>
  <c r="R20" i="130"/>
  <c r="S20" i="130"/>
  <c r="U20" i="130"/>
  <c r="V20" i="130"/>
  <c r="AM20" i="130"/>
  <c r="AO20" i="130"/>
  <c r="AQ20" i="130"/>
  <c r="AS20" i="130"/>
  <c r="AU20" i="130"/>
  <c r="AW20" i="130"/>
  <c r="AY20" i="130"/>
  <c r="BA20" i="130"/>
  <c r="BD20" i="130"/>
  <c r="BF20" i="130"/>
  <c r="BH20" i="130"/>
  <c r="BJ20" i="130"/>
  <c r="BK20" i="130"/>
  <c r="BX20" i="130"/>
  <c r="BY20" i="130"/>
  <c r="BZ20" i="130"/>
  <c r="CC20" i="130"/>
  <c r="CD20" i="130"/>
  <c r="CE20" i="130"/>
  <c r="CF20" i="130"/>
  <c r="CG20" i="130"/>
  <c r="CH20" i="130"/>
  <c r="CI20" i="130"/>
  <c r="CJ20" i="130"/>
  <c r="CK20" i="130"/>
  <c r="CL20" i="130"/>
  <c r="CM20" i="130"/>
  <c r="CN20" i="130"/>
  <c r="CO20" i="130"/>
  <c r="CP20" i="130"/>
  <c r="CQ20" i="130"/>
  <c r="CS20" i="130"/>
  <c r="CU20" i="130"/>
  <c r="CV20" i="130"/>
  <c r="CW20" i="130"/>
  <c r="CX20" i="130"/>
  <c r="CY20" i="130"/>
  <c r="CZ20" i="130"/>
  <c r="DA20" i="130"/>
  <c r="A21" i="130"/>
  <c r="Q21" i="130"/>
  <c r="R21" i="130"/>
  <c r="S21" i="130"/>
  <c r="U21" i="130"/>
  <c r="V21" i="130"/>
  <c r="AM21" i="130"/>
  <c r="AO21" i="130"/>
  <c r="AQ21" i="130"/>
  <c r="AS21" i="130"/>
  <c r="AU21" i="130"/>
  <c r="AW21" i="130"/>
  <c r="AY21" i="130"/>
  <c r="BA21" i="130"/>
  <c r="BD21" i="130"/>
  <c r="BF21" i="130"/>
  <c r="BH21" i="130"/>
  <c r="BI21" i="130"/>
  <c r="BX21" i="130"/>
  <c r="BY21" i="130"/>
  <c r="BZ21" i="130"/>
  <c r="CC21" i="130"/>
  <c r="CD21" i="130"/>
  <c r="CE21" i="130"/>
  <c r="CF21" i="130"/>
  <c r="CG21" i="130"/>
  <c r="CH21" i="130"/>
  <c r="CI21" i="130"/>
  <c r="CJ21" i="130"/>
  <c r="CK21" i="130"/>
  <c r="CL21" i="130"/>
  <c r="CM21" i="130"/>
  <c r="CN21" i="130"/>
  <c r="CO21" i="130"/>
  <c r="CP21" i="130"/>
  <c r="CQ21" i="130"/>
  <c r="CS21" i="130"/>
  <c r="CU21" i="130"/>
  <c r="CV21" i="130"/>
  <c r="CW21" i="130"/>
  <c r="CX21" i="130"/>
  <c r="CY21" i="130"/>
  <c r="CZ21" i="130"/>
  <c r="DA21" i="130"/>
  <c r="A22" i="130"/>
  <c r="Q22" i="130"/>
  <c r="R22" i="130"/>
  <c r="S22" i="130"/>
  <c r="U22" i="130"/>
  <c r="V22" i="130"/>
  <c r="AH22" i="130"/>
  <c r="AJ22" i="130"/>
  <c r="AL22" i="130"/>
  <c r="AN22" i="130"/>
  <c r="AP22" i="130"/>
  <c r="AS22" i="130"/>
  <c r="AU22" i="130"/>
  <c r="AW22" i="130"/>
  <c r="AY22" i="130"/>
  <c r="BA22" i="130"/>
  <c r="BF22" i="130"/>
  <c r="BI22" i="130"/>
  <c r="BL22" i="130"/>
  <c r="BX22" i="130"/>
  <c r="BY22" i="130"/>
  <c r="BZ22" i="130"/>
  <c r="CC22" i="130"/>
  <c r="CD22" i="130"/>
  <c r="CE22" i="130"/>
  <c r="CF22" i="130"/>
  <c r="CG22" i="130"/>
  <c r="CH22" i="130"/>
  <c r="CI22" i="130"/>
  <c r="CJ22" i="130"/>
  <c r="CK22" i="130"/>
  <c r="CL22" i="130"/>
  <c r="CM22" i="130"/>
  <c r="CN22" i="130"/>
  <c r="CO22" i="130"/>
  <c r="CP22" i="130"/>
  <c r="CQ22" i="130"/>
  <c r="CS22" i="130"/>
  <c r="CU22" i="130"/>
  <c r="CV22" i="130"/>
  <c r="CW22" i="130"/>
  <c r="CX22" i="130"/>
  <c r="CY22" i="130"/>
  <c r="CZ22" i="130"/>
  <c r="DA22" i="130"/>
  <c r="A23" i="130"/>
  <c r="Q23" i="130"/>
  <c r="R23" i="130"/>
  <c r="S23" i="130"/>
  <c r="AH23" i="130"/>
  <c r="AJ23" i="130"/>
  <c r="AL23" i="130"/>
  <c r="AN23" i="130"/>
  <c r="AP23" i="130"/>
  <c r="AU23" i="130"/>
  <c r="AX23" i="130"/>
  <c r="BD23" i="130"/>
  <c r="BF23" i="130"/>
  <c r="BH23" i="130"/>
  <c r="BJ23" i="130"/>
  <c r="BL23" i="130"/>
  <c r="BN23" i="130"/>
  <c r="BX23" i="130"/>
  <c r="BY23" i="130"/>
  <c r="BZ23" i="130"/>
  <c r="CC23" i="130"/>
  <c r="CD23" i="130"/>
  <c r="CE23" i="130"/>
  <c r="CF23" i="130"/>
  <c r="CG23" i="130"/>
  <c r="CH23" i="130"/>
  <c r="CI23" i="130"/>
  <c r="CJ23" i="130"/>
  <c r="CK23" i="130"/>
  <c r="CL23" i="130"/>
  <c r="CM23" i="130"/>
  <c r="CN23" i="130"/>
  <c r="CO23" i="130"/>
  <c r="CP23" i="130"/>
  <c r="CQ23" i="130"/>
  <c r="CS23" i="130"/>
  <c r="CU23" i="130"/>
  <c r="CV23" i="130"/>
  <c r="CW23" i="130"/>
  <c r="CX23" i="130"/>
  <c r="CY23" i="130"/>
  <c r="CZ23" i="130"/>
  <c r="DA23" i="130"/>
  <c r="A24" i="130"/>
  <c r="Q24" i="130"/>
  <c r="R24" i="130"/>
  <c r="S24" i="130"/>
  <c r="AI24" i="130"/>
  <c r="AJ24" i="130"/>
  <c r="AL24" i="130"/>
  <c r="AM24" i="130"/>
  <c r="AN24" i="130"/>
  <c r="AP24" i="130"/>
  <c r="AQ24" i="130"/>
  <c r="AS24" i="130"/>
  <c r="AY24" i="130"/>
  <c r="BB24" i="130"/>
  <c r="BH24" i="130"/>
  <c r="BJ24" i="130"/>
  <c r="BL24" i="130"/>
  <c r="BN24" i="130"/>
  <c r="BP24" i="130"/>
  <c r="BX24" i="130"/>
  <c r="BY24" i="130"/>
  <c r="BZ24" i="130"/>
  <c r="CC24" i="130"/>
  <c r="CD24" i="130"/>
  <c r="CE24" i="130"/>
  <c r="CF24" i="130"/>
  <c r="CG24" i="130"/>
  <c r="CH24" i="130"/>
  <c r="CI24" i="130"/>
  <c r="CJ24" i="130"/>
  <c r="CK24" i="130"/>
  <c r="CL24" i="130"/>
  <c r="CM24" i="130"/>
  <c r="CN24" i="130"/>
  <c r="CO24" i="130"/>
  <c r="CP24" i="130"/>
  <c r="CQ24" i="130"/>
  <c r="CS24" i="130"/>
  <c r="CU24" i="130"/>
  <c r="CV24" i="130"/>
  <c r="CW24" i="130"/>
  <c r="CX24" i="130"/>
  <c r="CY24" i="130"/>
  <c r="CZ24" i="130"/>
  <c r="DA24" i="130"/>
  <c r="A25" i="130"/>
  <c r="Q25" i="130"/>
  <c r="R25" i="130"/>
  <c r="S25" i="130"/>
  <c r="AM25" i="130"/>
  <c r="AN25" i="130"/>
  <c r="AP25" i="130"/>
  <c r="AQ25" i="130"/>
  <c r="AS25" i="130"/>
  <c r="AY25" i="130"/>
  <c r="BB25" i="130"/>
  <c r="BD25" i="130"/>
  <c r="BF25" i="130"/>
  <c r="BX25" i="130"/>
  <c r="BY25" i="130"/>
  <c r="BZ25" i="130"/>
  <c r="CC25" i="130"/>
  <c r="CD25" i="130"/>
  <c r="CE25" i="130"/>
  <c r="CF25" i="130"/>
  <c r="CG25" i="130"/>
  <c r="CH25" i="130"/>
  <c r="CI25" i="130"/>
  <c r="CJ25" i="130"/>
  <c r="CK25" i="130"/>
  <c r="CL25" i="130"/>
  <c r="CM25" i="130"/>
  <c r="CN25" i="130"/>
  <c r="CO25" i="130"/>
  <c r="CP25" i="130"/>
  <c r="CQ25" i="130"/>
  <c r="CS25" i="130"/>
  <c r="CU25" i="130"/>
  <c r="CV25" i="130"/>
  <c r="CW25" i="130"/>
  <c r="CX25" i="130"/>
  <c r="CY25" i="130"/>
  <c r="CZ25" i="130"/>
  <c r="DA25" i="130"/>
  <c r="A26" i="130"/>
  <c r="Q26" i="130"/>
  <c r="R26" i="130"/>
  <c r="S26" i="130"/>
  <c r="AM26" i="130"/>
  <c r="AN26" i="130"/>
  <c r="AP26" i="130"/>
  <c r="AQ26" i="130"/>
  <c r="AS26" i="130"/>
  <c r="AY26" i="130"/>
  <c r="BB26" i="130"/>
  <c r="BD26" i="130"/>
  <c r="BF26" i="130"/>
  <c r="BX26" i="130"/>
  <c r="BY26" i="130"/>
  <c r="BZ26" i="130"/>
  <c r="CC26" i="130"/>
  <c r="CD26" i="130"/>
  <c r="CE26" i="130"/>
  <c r="CF26" i="130"/>
  <c r="CG26" i="130"/>
  <c r="CH26" i="130"/>
  <c r="CI26" i="130"/>
  <c r="CJ26" i="130"/>
  <c r="CK26" i="130"/>
  <c r="CL26" i="130"/>
  <c r="CM26" i="130"/>
  <c r="CN26" i="130"/>
  <c r="CO26" i="130"/>
  <c r="CP26" i="130"/>
  <c r="CQ26" i="130"/>
  <c r="CS26" i="130"/>
  <c r="CU26" i="130"/>
  <c r="CV26" i="130"/>
  <c r="CW26" i="130"/>
  <c r="CX26" i="130"/>
  <c r="CY26" i="130"/>
  <c r="CZ26" i="130"/>
  <c r="DA26" i="130"/>
  <c r="Q27" i="130"/>
  <c r="R27" i="130"/>
  <c r="S27" i="130"/>
  <c r="AI27" i="130"/>
  <c r="AJ27" i="130"/>
  <c r="AL27" i="130"/>
  <c r="AM27" i="130"/>
  <c r="AN27" i="130"/>
  <c r="AP27" i="130"/>
  <c r="AQ27" i="130"/>
  <c r="AS27" i="130"/>
  <c r="AY27" i="130"/>
  <c r="BB27" i="130"/>
  <c r="BD27" i="130"/>
  <c r="BF27" i="130"/>
  <c r="BX27" i="130"/>
  <c r="BY27" i="130"/>
  <c r="BZ27" i="130"/>
  <c r="CC27" i="130"/>
  <c r="CD27" i="130"/>
  <c r="CE27" i="130"/>
  <c r="CF27" i="130"/>
  <c r="CG27" i="130"/>
  <c r="CH27" i="130"/>
  <c r="CI27" i="130"/>
  <c r="CJ27" i="130"/>
  <c r="CK27" i="130"/>
  <c r="CL27" i="130"/>
  <c r="CM27" i="130"/>
  <c r="CN27" i="130"/>
  <c r="CO27" i="130"/>
  <c r="CP27" i="130"/>
  <c r="CQ27" i="130"/>
  <c r="Q28" i="130"/>
  <c r="R28" i="130"/>
  <c r="S28" i="130"/>
  <c r="AI28" i="130"/>
  <c r="AJ28" i="130"/>
  <c r="AL28" i="130"/>
  <c r="AM28" i="130"/>
  <c r="AN28" i="130"/>
  <c r="AP28" i="130"/>
  <c r="AQ28" i="130"/>
  <c r="AS28" i="130"/>
  <c r="AY28" i="130"/>
  <c r="BB28" i="130"/>
  <c r="BX28" i="130"/>
  <c r="BY28" i="130"/>
  <c r="BZ28" i="130"/>
  <c r="CC28" i="130"/>
  <c r="CD28" i="130"/>
  <c r="CE28" i="130"/>
  <c r="CF28" i="130"/>
  <c r="CG28" i="130"/>
  <c r="CH28" i="130"/>
  <c r="CI28" i="130"/>
  <c r="CJ28" i="130"/>
  <c r="CK28" i="130"/>
  <c r="CL28" i="130"/>
  <c r="CM28" i="130"/>
  <c r="CN28" i="130"/>
  <c r="CO28" i="130"/>
  <c r="CP28" i="130"/>
  <c r="CQ28" i="130"/>
  <c r="CK29" i="130"/>
  <c r="CL29" i="130"/>
  <c r="CM29" i="130"/>
  <c r="CN29" i="130"/>
  <c r="CO29" i="130"/>
  <c r="CP29" i="130"/>
  <c r="CQ29" i="130"/>
  <c r="CK30" i="130"/>
  <c r="CL30" i="130"/>
  <c r="CQ30" i="130"/>
  <c r="CS30" i="130"/>
  <c r="CW30" i="130"/>
  <c r="CX30" i="130"/>
  <c r="CY30" i="130"/>
  <c r="CZ30" i="130"/>
  <c r="DA30" i="130"/>
  <c r="CK31" i="130"/>
  <c r="CL31" i="130"/>
  <c r="CQ31" i="130"/>
  <c r="CS31" i="130"/>
  <c r="CW31" i="130"/>
  <c r="CX31" i="130"/>
  <c r="CY31" i="130"/>
  <c r="CZ31" i="130"/>
  <c r="DA31" i="130"/>
</calcChain>
</file>

<file path=xl/sharedStrings.xml><?xml version="1.0" encoding="utf-8"?>
<sst xmlns="http://schemas.openxmlformats.org/spreadsheetml/2006/main" count="741" uniqueCount="168">
  <si>
    <t>-</t>
  </si>
  <si>
    <t>Yok</t>
  </si>
  <si>
    <t>Temizlik Yardımı</t>
  </si>
  <si>
    <t>Doğal Afet Yardımı</t>
  </si>
  <si>
    <t>Kıdem Yardımı</t>
  </si>
  <si>
    <t>Resmi Tatillerde Çalışma</t>
  </si>
  <si>
    <t>SGK Prim Kesintisi</t>
  </si>
  <si>
    <t>SGK İşsizlik Primi Kesintisi</t>
  </si>
  <si>
    <t>Yemek Yardımı</t>
  </si>
  <si>
    <t>Sosyal Yardım</t>
  </si>
  <si>
    <t>Evlilik Yardımı</t>
  </si>
  <si>
    <t>Var</t>
  </si>
  <si>
    <t>OCA</t>
  </si>
  <si>
    <t>ŞUB</t>
  </si>
  <si>
    <t>MAR</t>
  </si>
  <si>
    <t>NİS</t>
  </si>
  <si>
    <t>MAY</t>
  </si>
  <si>
    <t>HAZ</t>
  </si>
  <si>
    <t>TEM</t>
  </si>
  <si>
    <t>AĞU</t>
  </si>
  <si>
    <t>EYL</t>
  </si>
  <si>
    <t>EKİ</t>
  </si>
  <si>
    <t>KAS</t>
  </si>
  <si>
    <t>ARA</t>
  </si>
  <si>
    <t>Annelik İzni</t>
  </si>
  <si>
    <t>Analık Hâli İzni</t>
  </si>
  <si>
    <t>Babalık İzni</t>
  </si>
  <si>
    <t>Süt İzni</t>
  </si>
  <si>
    <t>Engelli Çocuk İzni</t>
  </si>
  <si>
    <t>Evlat Edinme İzni</t>
  </si>
  <si>
    <t>Doğal Afet İzni</t>
  </si>
  <si>
    <t>Ulaşım Yardımı</t>
  </si>
  <si>
    <t>Normal Çalışma</t>
  </si>
  <si>
    <t>BES Kesintisi</t>
  </si>
  <si>
    <t>Damga Vergisi Kesintisi</t>
  </si>
  <si>
    <t>Gelir Vergisi Kesintisi</t>
  </si>
  <si>
    <t>İkramiye Yardımı</t>
  </si>
  <si>
    <t>İş Kazası veya Meslek Hastalığı Tazminatı</t>
  </si>
  <si>
    <t>Nakdi Yardımlar</t>
  </si>
  <si>
    <t>Sendika Üyelik Aidatı Kesintisi</t>
  </si>
  <si>
    <t>Gıda Yardımı</t>
  </si>
  <si>
    <t>Ücretli Sendikal İzin ve Sendika Temsilci Sayısı</t>
  </si>
  <si>
    <t>İş Arama İzni</t>
  </si>
  <si>
    <t>Ücretli Yıllık İzin</t>
  </si>
  <si>
    <t>Kazançlar</t>
  </si>
  <si>
    <t>Kesintiler</t>
  </si>
  <si>
    <t>Cenaze İzni</t>
  </si>
  <si>
    <t>Evlilik İzni</t>
  </si>
  <si>
    <t>Mazeret İzni</t>
  </si>
  <si>
    <t>Yol İzni</t>
  </si>
  <si>
    <t>a) İşçinin eşinin doğum yapması hâlinde 5 takvim günü ücretli sosyal izin verilir.</t>
  </si>
  <si>
    <t>a) İşçinin ikamet ettiği konutun doğal afet nedeniyle hasara uğraması hâlinde 10 iş günü ücretli sosyal izin verilir.</t>
  </si>
  <si>
    <t>a) İşçinin evlenmesi hâlinde 7 iş günü ücretli sosyal izin verilir.
b) İşçinin çocuğunun evlenmesi hâlinde 0 iş günü ücretli sosyal izin verilir.
c) İşçinin evliliğinde, evlilik izninin hangi şekilde kullanılacağı işçinin talebi doğrultusunda değerlendirilir.</t>
  </si>
  <si>
    <t>a) İşçilere, gerekli ve geçerli mazeretleri hâlinde işverenin takdirine bağlı olarak yılda 6 iş günü ücretli sosyal izin verilir.
b) İşçilere, gerekli ve geçerli mazeretleri hâlinde işverenin takdirine bağlı olarak yılda 6 aya kadar ücretsiz sosyal izin verilebilir. Genel müdürün uygun görmesi hâlinde 12 aya kadar uzatılabilir.</t>
  </si>
  <si>
    <t>Askerlik Yardımı</t>
  </si>
  <si>
    <t>a) İşçinin eşinin veya çocuğunun vefatı hâlinde 5 iş günü ücretli sosyal izin verilir.
b) İşçinin annesinin, babasının veya kardeşinin vefatı hâlinde 5 iş günü ücretli sosyal izin verilir.
c) İşçinin eşinin annesinin, babasının veya kardeşinin vefatı hâlinde 5 iş günü ücretli sosyal izin verilir.
d) İşçinin amcasının, halasının, dayısının, teyzesinin, dedesinin veya ninesinin vefatı hâlinde 0 iş günü ücretli sosyal izin verilir.
e) Cenazenin il dışında olması veya il dışına götürülmesi hâlinde işçinin annesinin, babasının, kardeşinin, eşinin veya çocuğunun cenazesi için ilave 5 iş günü amcasının, halasının, dayısının, teyzesinin, dedesinin veya ninesinin cenazesi için ilave 0 iş günü ücretli sosyal izin verilir.
f) İşçilerden birinin vefatı hâlinde cenaze işlemleri veya katılımı için ihtiyaç kadar işçiye ücretli sosyal izin verilir.
g) Vefat eden kişi birden fazla personelin yakını ise cenaze izni her personele ayrı ayrı verilir.</t>
  </si>
  <si>
    <t>Fazla Çalışma (Gündüz / Gece)</t>
  </si>
  <si>
    <t>Yıllık Toplam</t>
  </si>
  <si>
    <t>Yıllık Ortalama</t>
  </si>
  <si>
    <t xml:space="preserve">   Kıdem Yardımı</t>
  </si>
  <si>
    <t xml:space="preserve">   Fazla Çalışma
   (Gündüz / Gece)</t>
  </si>
  <si>
    <t xml:space="preserve">   Yemek Yardımı</t>
  </si>
  <si>
    <t xml:space="preserve">   Nakdi Yardımlar
   Sürekliliği Olmayan Yardımlar</t>
  </si>
  <si>
    <t xml:space="preserve">   Kesintiler / Özel
   BES Kesintisi</t>
  </si>
  <si>
    <t>Cenaze Yardımı (Anne-Baba)</t>
  </si>
  <si>
    <t>Cenaze Yardımı (Eş-Çocuk)</t>
  </si>
  <si>
    <t>Cenaze Yardımı (İşçi-İş Kazası Sonucu)</t>
  </si>
  <si>
    <t>Cenaze Yardımı (İşçi-Tabii Sebepler Sonucu)</t>
  </si>
  <si>
    <t>Eğitim Yardımı (İşçi-Lise)</t>
  </si>
  <si>
    <t>Eğitim Yardımı (İşçi-Yükseköğretim)</t>
  </si>
  <si>
    <t>Eğitim Yardımı (Çocuk-İlköğretim)</t>
  </si>
  <si>
    <t>Eğitim Yardımı (Çocuk-Ortaöğretim)</t>
  </si>
  <si>
    <t>Eğitim Yardımı (Çocuk-Lise)</t>
  </si>
  <si>
    <t>Eğitim Yardımı (Çocuk-Yükseköğretim)</t>
  </si>
  <si>
    <t xml:space="preserve">   Toplam Kazanç
   Net</t>
  </si>
  <si>
    <t>İşveren Maliyeti</t>
  </si>
  <si>
    <t xml:space="preserve">   Resmi Tatillerde Çalışma
   (Saat Hesabı)</t>
  </si>
  <si>
    <r>
      <t xml:space="preserve">   Sonraki Ayın 1'inde
   </t>
    </r>
    <r>
      <rPr>
        <b/>
        <sz val="16"/>
        <rFont val="Calibri"/>
        <family val="2"/>
        <charset val="162"/>
        <scheme val="minor"/>
      </rPr>
      <t>Net</t>
    </r>
  </si>
  <si>
    <t>a) 3 yaşını doldurmamış çocuğu evlat edinen eşlerden birine veya evlat edinene çocuğun aileye fiilen teslim edildiği tarihten itibaren 8 hafta analık hâli izni kullandırılır.
(4857 sayılı İş Kanunu / Madde 74)</t>
  </si>
  <si>
    <r>
      <t xml:space="preserve">   Sonraki Ayın 15'inde
   Fazla Çalışma (Gündüz / Gece)
   Resmi Tatillerde Çalışma
   Yemek Yardımı
   </t>
    </r>
    <r>
      <rPr>
        <b/>
        <sz val="16"/>
        <rFont val="Calibri"/>
        <family val="2"/>
        <charset val="162"/>
        <scheme val="minor"/>
      </rPr>
      <t>Net</t>
    </r>
  </si>
  <si>
    <t>Miktar</t>
  </si>
  <si>
    <t>1S-Makine ve Elektrik Teknisyenleri-Üniversite</t>
  </si>
  <si>
    <t>1S-Makine ve Elektrik Teknisyenleri-MYO</t>
  </si>
  <si>
    <t>1S-Makine ve Elektrik Teknisyenleri-Lise</t>
  </si>
  <si>
    <t>1S-Makine ve Elektrik Teknisyenleri-Ortaokul</t>
  </si>
  <si>
    <t>1S-Makine ve Elektrik Teknisyenleri-İlkokul</t>
  </si>
  <si>
    <t>1S-Yakıt Elemanı-Üniversite</t>
  </si>
  <si>
    <t>1S-Yakıt Elemanı-MYO</t>
  </si>
  <si>
    <t>1S-Yakıt Elemanı-Lise</t>
  </si>
  <si>
    <t>1S-Yakıt Elemanı-Ortaokul</t>
  </si>
  <si>
    <t>1S-Yakıt Elemanı-İlkokul</t>
  </si>
  <si>
    <t>1S-Tanker Şoförü-Üniversite</t>
  </si>
  <si>
    <t>1S-Tanker Şoförü-MYO</t>
  </si>
  <si>
    <t>1S-Tanker Şoförü-Lise</t>
  </si>
  <si>
    <t>1S-Tanker Şoförü-Ortaokul</t>
  </si>
  <si>
    <t>1S-Tanker Şoförü-İlkokul</t>
  </si>
  <si>
    <t>1S-Vinç Operatörü-Üniversite</t>
  </si>
  <si>
    <t>1S-Vinç Operatörü-MYO</t>
  </si>
  <si>
    <t>1S-Vinç Operatörü-Lise</t>
  </si>
  <si>
    <t>1S-Vinç Operatörü-Ortaokul</t>
  </si>
  <si>
    <t>1S-Vinç Operatörü-İlkokul</t>
  </si>
  <si>
    <t>1S-Rampa Görevlisi-Üniversite</t>
  </si>
  <si>
    <t>1S-Rampa Görevlisi-MYO</t>
  </si>
  <si>
    <t>1S-Rampa Görevlisi-Lise</t>
  </si>
  <si>
    <t>1S-Rampa Görevlisi-Ortaokul</t>
  </si>
  <si>
    <t>1S-Rampa Görevlisi-İlkokul</t>
  </si>
  <si>
    <t>1S-Yakıt Hizmetlisi-Üniversite</t>
  </si>
  <si>
    <t>1S-Yakıt Hizmetlisi-MYO</t>
  </si>
  <si>
    <t>1S-Yakıt Hizmetlisi-Lise</t>
  </si>
  <si>
    <t>1S-Yakıt Hizmetlisi-Ortaokul</t>
  </si>
  <si>
    <t>1S-Yakıt Hizmetlisi-İlkokul</t>
  </si>
  <si>
    <t>2S-Rampa Görevlisi-Üniversite</t>
  </si>
  <si>
    <t>2S-Rampa Görevlisi-MYO</t>
  </si>
  <si>
    <t>2S-Rampa Görevlisi-Lise</t>
  </si>
  <si>
    <t>2S-Rampa Görevlisi-Ortaokul</t>
  </si>
  <si>
    <t>2S-Rampa Görevlisi-İlkokul</t>
  </si>
  <si>
    <t>2S-Hizmetliler-Üniversite</t>
  </si>
  <si>
    <t>2S-Hizmetliler-MYO</t>
  </si>
  <si>
    <t>2S-Hizmetliler-Lise</t>
  </si>
  <si>
    <t>2S-Hizmetliler-Ortaokul</t>
  </si>
  <si>
    <t>2S-Hizmetliler-İlkokul</t>
  </si>
  <si>
    <t>2S-Çaycı-Üniversite</t>
  </si>
  <si>
    <t>2S-Çaycı-MYO</t>
  </si>
  <si>
    <t>2S-Çaycı-Lise</t>
  </si>
  <si>
    <t>2S-Çaycı-Ortaokul</t>
  </si>
  <si>
    <t>2S-Çaycı-İlkokul</t>
  </si>
  <si>
    <t>2S-Gişe Görevlisi-Üniversite</t>
  </si>
  <si>
    <t>2S-Gişe Görevlisi-MYO</t>
  </si>
  <si>
    <t>2S-Gişe Görevlisi-Lise</t>
  </si>
  <si>
    <t>2S-Gişe Görevlisi-Ortaokul</t>
  </si>
  <si>
    <t>2S-Gişe Görevlisi-İlkokul</t>
  </si>
  <si>
    <t>2S-Terminal Görevlisi-Üniversite</t>
  </si>
  <si>
    <t>2S-Terminal Görevlisi-MYO</t>
  </si>
  <si>
    <t>2S-Terminal Görevlisi-Lise</t>
  </si>
  <si>
    <t>2S-Terminal Görevlisi-Ortaokul</t>
  </si>
  <si>
    <t>2S-Terminal Görevlisi-İlkokul</t>
  </si>
  <si>
    <t>2S-İskele Görevlisi-Üniversite</t>
  </si>
  <si>
    <t>2S-İskele Görevlisi-MYO</t>
  </si>
  <si>
    <t>2S-İskele Görevlisi-Lise</t>
  </si>
  <si>
    <t>2S-İskele Görevlisi-Ortaokul</t>
  </si>
  <si>
    <t>2S-İskele Görevlisi-İlkokul</t>
  </si>
  <si>
    <t>Atölye-Formen</t>
  </si>
  <si>
    <t>Atölye-Teknisyen</t>
  </si>
  <si>
    <t>Atölye-Ustabaşı</t>
  </si>
  <si>
    <t>Atölye-Usta</t>
  </si>
  <si>
    <t>Atölye-İşçi</t>
  </si>
  <si>
    <t xml:space="preserve">   Görev Primi
   (Her Ay)</t>
  </si>
  <si>
    <t>2S-Gişe Sorumlusu-Üniversite</t>
  </si>
  <si>
    <t>2S-Gişe Sorumlusu-MYO</t>
  </si>
  <si>
    <t>2S-Gişe Sorumlusu-Lise</t>
  </si>
  <si>
    <t>2S-Gişe Sorumlusu-Ortaokul</t>
  </si>
  <si>
    <t>2S-Gişe Sorumlusu-İlkokul</t>
  </si>
  <si>
    <t xml:space="preserve">   İş Güçlüğü Primi
   Eskihisar-Topçular Hattı
   (Her Vardiya)</t>
  </si>
  <si>
    <t xml:space="preserve">   İş Riski Primi
   Atölye İşçisi
   (Her Vardiya)</t>
  </si>
  <si>
    <t xml:space="preserve">   İş Riski Primi
   Gaz Altı Kaynağı İşçisi
   (Her Vardiya)</t>
  </si>
  <si>
    <t xml:space="preserve">   Mâli Sorumluluk Primi
   Gişe Sorumlusu
   (Her Vardiya)</t>
  </si>
  <si>
    <t>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t>
  </si>
  <si>
    <t>a) Yıllık ücretli izinleri işyerinin kurulu bulunduğu yerden başka bir yerde geçirecek olanlara istemde bulunmaları ve bu hususu belgelemeleri koşulu ile gidiş ve dönüşlerinde yolda geçecek süreleri karşılamak üzere işveren toplam 4 güne kadar ücretsiz yol izni vermek zorundadır.
(Yıllık Ücretli İzin Yönetmeliği / Madde 6)</t>
  </si>
  <si>
    <t>Görev Primi</t>
  </si>
  <si>
    <t>İş Güçlüğü Primi</t>
  </si>
  <si>
    <t>İş Riski Primi</t>
  </si>
  <si>
    <t>Mâli Sorumluluk Primi</t>
  </si>
  <si>
    <r>
      <t xml:space="preserve">a) Kadın işçilerin </t>
    </r>
    <r>
      <rPr>
        <b/>
        <sz val="16"/>
        <color theme="0" tint="-0.14999847407452621"/>
        <rFont val="Calibri"/>
        <family val="2"/>
        <charset val="162"/>
        <scheme val="minor"/>
      </rPr>
      <t>doğumdan önce 8 ve doğumdan sonra 8 hafta</t>
    </r>
    <r>
      <rPr>
        <sz val="16"/>
        <color theme="0" tint="-0.14999847407452621"/>
        <rFont val="Calibri"/>
        <family val="2"/>
        <charset val="162"/>
        <scheme val="minor"/>
      </rPr>
      <t xml:space="preserve"> olmak üzere toplam 16 haftalık süre için çalıştırılmamaları esastır.
(4857 sayılı İş Kanunu / Madde 74)</t>
    </r>
  </si>
  <si>
    <r>
      <t xml:space="preserve">a) İşçilerin en az %70 oranında engelli veya süreğen hastalığı olan çocuğunun tedavisinde, hastalık raporuna dayalı olarak ve çalışan ebeveynden sadece biri tarafından kullanılması kaydıyla, </t>
    </r>
    <r>
      <rPr>
        <b/>
        <sz val="16"/>
        <color theme="0" tint="-0.14999847407452621"/>
        <rFont val="Calibri"/>
        <family val="2"/>
        <charset val="162"/>
        <scheme val="minor"/>
      </rPr>
      <t>bir yıl içinde toptan veya bölümler hâlinde 10 güne kadar</t>
    </r>
    <r>
      <rPr>
        <sz val="16"/>
        <color theme="0" tint="-0.14999847407452621"/>
        <rFont val="Calibri"/>
        <family val="2"/>
        <charset val="162"/>
        <scheme val="minor"/>
      </rPr>
      <t xml:space="preserve"> ücretli izin verilir.
(4857 sayılı İş Kanunu / Ek Madde 2)</t>
    </r>
  </si>
  <si>
    <r>
      <t xml:space="preserve">a) İşçiye; evlat edinmesi hâlinde </t>
    </r>
    <r>
      <rPr>
        <b/>
        <sz val="16"/>
        <color theme="0" tint="-0.14999847407452621"/>
        <rFont val="Calibri"/>
        <family val="2"/>
        <charset val="162"/>
        <scheme val="minor"/>
      </rPr>
      <t>3 gün</t>
    </r>
    <r>
      <rPr>
        <sz val="16"/>
        <color theme="0" tint="-0.14999847407452621"/>
        <rFont val="Calibri"/>
        <family val="2"/>
        <charset val="162"/>
        <scheme val="minor"/>
      </rPr>
      <t xml:space="preserve"> ücretli izin verilir.
(4857 sayılı İş Kanunu / Ek Madde 2)</t>
    </r>
  </si>
  <si>
    <r>
      <t xml:space="preserve">a) Bildirim süreleri içinde işveren, işçiye yeni bir iş bulması için gerekli olan iş arama iznini iş saatleri içinde ve ücret kesintisi yapmadan vermeye mecburdur. İş arama izninin süresi </t>
    </r>
    <r>
      <rPr>
        <b/>
        <sz val="16"/>
        <color theme="0" tint="-0.14999847407452621"/>
        <rFont val="Calibri"/>
        <family val="2"/>
        <charset val="162"/>
        <scheme val="minor"/>
      </rPr>
      <t>günde 2 saatten az olamaz</t>
    </r>
    <r>
      <rPr>
        <sz val="16"/>
        <color theme="0" tint="-0.14999847407452621"/>
        <rFont val="Calibri"/>
        <family val="2"/>
        <charset val="162"/>
        <scheme val="minor"/>
      </rPr>
      <t xml:space="preserve"> ve işçi isterse iş arama izin saatlerini birleştirerek toplu kullanabilir.
(4857 sayılı İş Kanunu / Madde 27)</t>
    </r>
  </si>
  <si>
    <r>
      <t xml:space="preserve">a) Kadın işçilere bir yaşından küçük çocuklarını emzirmeleri için </t>
    </r>
    <r>
      <rPr>
        <b/>
        <sz val="16"/>
        <color theme="0" tint="-0.14999847407452621"/>
        <rFont val="Calibri"/>
        <family val="2"/>
        <charset val="162"/>
        <scheme val="minor"/>
      </rPr>
      <t>günde toplam 1,5 saat</t>
    </r>
    <r>
      <rPr>
        <sz val="16"/>
        <color theme="0" tint="-0.14999847407452621"/>
        <rFont val="Calibri"/>
        <family val="2"/>
        <charset val="162"/>
        <scheme val="minor"/>
      </rPr>
      <t xml:space="preserve"> süt izni verilir.
(4857 sayılı İş Kanunu / Madde 74)</t>
    </r>
  </si>
  <si>
    <r>
      <t xml:space="preserve">a) İşyerinde işçi sayısı 50’ye kadar ise yıllık en fazla 20 iş günü ücretli izin verilir.
İşyerinde işçi sayısı 51 ile 100 arasında ise yıllık en fazla 30 iş günü ücretli izin verilir.
İşyerinde işçi sayısı 101 ile 200 arasında ise yıllık en fazla 40 iş günü ücretli izin verilir.
İşyerinde işçi sayısı 201 ile 500 arasında ise yıllık en fazla 60 iş günü ücretli izin verilir.
İşyerinde işçi sayısı 501 ile 1000 arasında ise yıllık en fazla 80 iş günü ücretli izin verilir.
İşyerinde işçi sayısı 1000 işçiden fazla ise yıllık en fazla işçi sayısının % 10'u kadar iş günü ücretli sendikal izin verilir.
(6. Dönem Toplu İş Sözleşmesi / Madde 36)
b) Sendikal faaliyetler için sendikanın yazılı talebi üzerine ve işverenin hizmetlerini aksatmamak suretiyle, işçilere ayrı ayrı olmadan çalışan kişi sayısı karşılığına gelen gün kadar yıllık ücretli sendikal izin verilir.
c) Temsilcilik görevlerini yerine getirmeleri için baştemsilciye haftada 1 gün, diğer temsilcilere ayda 1’er gün ücretli sendikal izin verilir.
d) Toplu iş sözleşmesi yapmak üzere yetkisi kesinleşen sendika; 
işyerinde işçi sayısı </t>
    </r>
    <r>
      <rPr>
        <b/>
        <sz val="16"/>
        <color theme="0" tint="-0.14999847407452621"/>
        <rFont val="Calibri"/>
        <family val="2"/>
        <charset val="162"/>
        <scheme val="minor"/>
      </rPr>
      <t>50’ye kadar ise 1</t>
    </r>
    <r>
      <rPr>
        <sz val="16"/>
        <color theme="0" tint="-0.14999847407452621"/>
        <rFont val="Calibri"/>
        <family val="2"/>
        <charset val="162"/>
        <scheme val="minor"/>
      </rPr>
      <t xml:space="preserve">,
</t>
    </r>
    <r>
      <rPr>
        <b/>
        <sz val="16"/>
        <color theme="0" tint="-0.14999847407452621"/>
        <rFont val="Calibri"/>
        <family val="2"/>
        <charset val="162"/>
        <scheme val="minor"/>
      </rPr>
      <t>51 ile 100 arasında</t>
    </r>
    <r>
      <rPr>
        <sz val="16"/>
        <color theme="0" tint="-0.14999847407452621"/>
        <rFont val="Calibri"/>
        <family val="2"/>
        <charset val="162"/>
        <scheme val="minor"/>
      </rPr>
      <t xml:space="preserve"> ise </t>
    </r>
    <r>
      <rPr>
        <b/>
        <sz val="16"/>
        <color theme="0" tint="-0.14999847407452621"/>
        <rFont val="Calibri"/>
        <family val="2"/>
        <charset val="162"/>
        <scheme val="minor"/>
      </rPr>
      <t>en çok 2</t>
    </r>
    <r>
      <rPr>
        <sz val="16"/>
        <color theme="0" tint="-0.14999847407452621"/>
        <rFont val="Calibri"/>
        <family val="2"/>
        <charset val="162"/>
        <scheme val="minor"/>
      </rPr>
      <t xml:space="preserve">,
</t>
    </r>
    <r>
      <rPr>
        <b/>
        <sz val="16"/>
        <color theme="0" tint="-0.14999847407452621"/>
        <rFont val="Calibri"/>
        <family val="2"/>
        <charset val="162"/>
        <scheme val="minor"/>
      </rPr>
      <t>101 ile 500 arasında</t>
    </r>
    <r>
      <rPr>
        <sz val="16"/>
        <color theme="0" tint="-0.14999847407452621"/>
        <rFont val="Calibri"/>
        <family val="2"/>
        <charset val="162"/>
        <scheme val="minor"/>
      </rPr>
      <t xml:space="preserve"> ise </t>
    </r>
    <r>
      <rPr>
        <b/>
        <sz val="16"/>
        <color theme="0" tint="-0.14999847407452621"/>
        <rFont val="Calibri"/>
        <family val="2"/>
        <charset val="162"/>
        <scheme val="minor"/>
      </rPr>
      <t>en çok 3</t>
    </r>
    <r>
      <rPr>
        <sz val="16"/>
        <color theme="0" tint="-0.14999847407452621"/>
        <rFont val="Calibri"/>
        <family val="2"/>
        <charset val="162"/>
        <scheme val="minor"/>
      </rPr>
      <t xml:space="preserve">,
</t>
    </r>
    <r>
      <rPr>
        <b/>
        <sz val="16"/>
        <color theme="0" tint="-0.14999847407452621"/>
        <rFont val="Calibri"/>
        <family val="2"/>
        <charset val="162"/>
        <scheme val="minor"/>
      </rPr>
      <t>501 ile 1000 arasında</t>
    </r>
    <r>
      <rPr>
        <sz val="16"/>
        <color theme="0" tint="-0.14999847407452621"/>
        <rFont val="Calibri"/>
        <family val="2"/>
        <charset val="162"/>
        <scheme val="minor"/>
      </rPr>
      <t xml:space="preserve"> ise </t>
    </r>
    <r>
      <rPr>
        <b/>
        <sz val="16"/>
        <color theme="0" tint="-0.14999847407452621"/>
        <rFont val="Calibri"/>
        <family val="2"/>
        <charset val="162"/>
        <scheme val="minor"/>
      </rPr>
      <t>en çok 4</t>
    </r>
    <r>
      <rPr>
        <sz val="16"/>
        <color theme="0" tint="-0.14999847407452621"/>
        <rFont val="Calibri"/>
        <family val="2"/>
        <charset val="162"/>
        <scheme val="minor"/>
      </rPr>
      <t xml:space="preserve">,
</t>
    </r>
    <r>
      <rPr>
        <b/>
        <sz val="16"/>
        <color theme="0" tint="-0.14999847407452621"/>
        <rFont val="Calibri"/>
        <family val="2"/>
        <charset val="162"/>
        <scheme val="minor"/>
      </rPr>
      <t>1001 ile 2000 arasında</t>
    </r>
    <r>
      <rPr>
        <sz val="16"/>
        <color theme="0" tint="-0.14999847407452621"/>
        <rFont val="Calibri"/>
        <family val="2"/>
        <charset val="162"/>
        <scheme val="minor"/>
      </rPr>
      <t xml:space="preserve"> ise </t>
    </r>
    <r>
      <rPr>
        <b/>
        <sz val="16"/>
        <color theme="0" tint="-0.14999847407452621"/>
        <rFont val="Calibri"/>
        <family val="2"/>
        <charset val="162"/>
        <scheme val="minor"/>
      </rPr>
      <t>en çok 6</t>
    </r>
    <r>
      <rPr>
        <sz val="16"/>
        <color theme="0" tint="-0.14999847407452621"/>
        <rFont val="Calibri"/>
        <family val="2"/>
        <charset val="162"/>
        <scheme val="minor"/>
      </rPr>
      <t xml:space="preserve">,
</t>
    </r>
    <r>
      <rPr>
        <b/>
        <sz val="16"/>
        <color theme="0" tint="-0.14999847407452621"/>
        <rFont val="Calibri"/>
        <family val="2"/>
        <charset val="162"/>
        <scheme val="minor"/>
      </rPr>
      <t>2000’den fazla</t>
    </r>
    <r>
      <rPr>
        <sz val="16"/>
        <color theme="0" tint="-0.14999847407452621"/>
        <rFont val="Calibri"/>
        <family val="2"/>
        <charset val="162"/>
        <scheme val="minor"/>
      </rPr>
      <t xml:space="preserve"> ise </t>
    </r>
    <r>
      <rPr>
        <b/>
        <sz val="16"/>
        <color theme="0" tint="-0.14999847407452621"/>
        <rFont val="Calibri"/>
        <family val="2"/>
        <charset val="162"/>
        <scheme val="minor"/>
      </rPr>
      <t>en çok 8</t>
    </r>
    <r>
      <rPr>
        <sz val="16"/>
        <color theme="0" tint="-0.14999847407452621"/>
        <rFont val="Calibri"/>
        <family val="2"/>
        <charset val="162"/>
        <scheme val="minor"/>
      </rPr>
      <t xml:space="preserve"> işyeri sendika temsilcisini işyerinde çalışan üyeleri arasından atayarak </t>
    </r>
    <r>
      <rPr>
        <b/>
        <sz val="16"/>
        <color theme="0" tint="-0.14999847407452621"/>
        <rFont val="Calibri"/>
        <family val="2"/>
        <charset val="162"/>
        <scheme val="minor"/>
      </rPr>
      <t>15 gün içinde</t>
    </r>
    <r>
      <rPr>
        <sz val="16"/>
        <color theme="0" tint="-0.14999847407452621"/>
        <rFont val="Calibri"/>
        <family val="2"/>
        <charset val="162"/>
        <scheme val="minor"/>
      </rPr>
      <t xml:space="preserve"> kimliklerini işverene bildirir. Bunlardan </t>
    </r>
    <r>
      <rPr>
        <b/>
        <sz val="16"/>
        <color theme="0" tint="-0.14999847407452621"/>
        <rFont val="Calibri"/>
        <family val="2"/>
        <charset val="162"/>
        <scheme val="minor"/>
      </rPr>
      <t>biri baş temsilci</t>
    </r>
    <r>
      <rPr>
        <sz val="16"/>
        <color theme="0" tint="-0.14999847407452621"/>
        <rFont val="Calibri"/>
        <family val="2"/>
        <charset val="162"/>
        <scheme val="minor"/>
      </rPr>
      <t xml:space="preserve"> olarak görevlendirilebilir. Temsilcilerin görevi, sendikanın yetkisi süresince devam eder.
(6356 sayılı Sendikalar ve Toplu İş Sözleşmesi Kanunu / Madde 27)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</si>
</sst>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0\ &quot;Gün&quot;"/>
    <numFmt numFmtId="166" formatCode="#,##0.00\ &quot;₺&quot;"/>
    <numFmt numFmtId="167" formatCode="0.000000"/>
    <numFmt numFmtId="168" formatCode="%\ 0"/>
    <numFmt numFmtId="169" formatCode="%\ 0.00"/>
    <numFmt numFmtId="170" formatCode="General\ &quot;₺&quot;"/>
    <numFmt numFmtId="171" formatCode="0.0"/>
  </numFmts>
  <fonts count="14" x14ac:knownFonts="1">
    <font>
      <sz val="11"/>
      <color rgb="FF000000"/>
      <name val="Calibri"/>
      <family val="2"/>
      <charset val="1"/>
    </font>
    <font>
      <sz val="11"/>
      <color rgb="FF000000"/>
      <name val="Calibri"/>
      <family val="2"/>
      <charset val="162"/>
    </font>
    <font>
      <sz val="11"/>
      <color rgb="FF000000"/>
      <name val="Calibri"/>
      <family val="2"/>
      <charset val="1"/>
    </font>
    <font>
      <sz val="10"/>
      <name val="Arial Tur"/>
      <charset val="162"/>
    </font>
    <font>
      <sz val="8"/>
      <name val="Calibri"/>
      <family val="2"/>
      <charset val="1"/>
    </font>
    <font>
      <sz val="16"/>
      <name val="Calibri"/>
      <family val="2"/>
      <charset val="162"/>
      <scheme val="minor"/>
    </font>
    <font>
      <b/>
      <sz val="16"/>
      <name val="Calibri"/>
      <family val="2"/>
      <charset val="162"/>
      <scheme val="minor"/>
    </font>
    <font>
      <sz val="16"/>
      <color rgb="FFFF0000"/>
      <name val="Calibri"/>
      <family val="2"/>
      <charset val="162"/>
      <scheme val="minor"/>
    </font>
    <font>
      <b/>
      <sz val="16"/>
      <color rgb="FFFF0000"/>
      <name val="Calibri"/>
      <family val="2"/>
      <charset val="162"/>
      <scheme val="minor"/>
    </font>
    <font>
      <sz val="20"/>
      <name val="Calibri"/>
      <family val="2"/>
      <charset val="162"/>
      <scheme val="minor"/>
    </font>
    <font>
      <sz val="20"/>
      <color rgb="FFFF0000"/>
      <name val="Calibri"/>
      <family val="2"/>
      <charset val="162"/>
      <scheme val="minor"/>
    </font>
    <font>
      <sz val="16"/>
      <color theme="0"/>
      <name val="Calibri"/>
      <family val="2"/>
      <charset val="162"/>
      <scheme val="minor"/>
    </font>
    <font>
      <sz val="16"/>
      <color theme="0" tint="-0.14999847407452621"/>
      <name val="Calibri"/>
      <family val="2"/>
      <charset val="162"/>
      <scheme val="minor"/>
    </font>
    <font>
      <b/>
      <sz val="16"/>
      <color theme="0" tint="-0.14999847407452621"/>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rgb="FFC8E1B4"/>
        <bgColor indexed="64"/>
      </patternFill>
    </fill>
    <fill>
      <patternFill patternType="solid">
        <fgColor theme="8" tint="0.79998168889431442"/>
        <bgColor indexed="64"/>
      </patternFill>
    </fill>
    <fill>
      <patternFill patternType="solid">
        <fgColor rgb="FFC8E1B4"/>
        <bgColor rgb="FFC5E0B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3" fillId="0" borderId="0"/>
    <xf numFmtId="0" fontId="2" fillId="0" borderId="0"/>
    <xf numFmtId="9" fontId="3" fillId="0" borderId="0" applyFont="0" applyFill="0" applyBorder="0" applyAlignment="0" applyProtection="0"/>
    <xf numFmtId="0" fontId="3" fillId="0" borderId="0" applyFont="0" applyFill="0" applyBorder="0" applyAlignment="0" applyProtection="0"/>
  </cellStyleXfs>
  <cellXfs count="73">
    <xf numFmtId="0" fontId="0" fillId="0" borderId="0" xfId="0"/>
    <xf numFmtId="0" fontId="5" fillId="0" borderId="0" xfId="2" applyFont="1" applyFill="1" applyAlignment="1" applyProtection="1">
      <alignment horizontal="center" vertical="center"/>
      <protection hidden="1"/>
    </xf>
    <xf numFmtId="0" fontId="5" fillId="0" borderId="0" xfId="2" applyFont="1" applyAlignment="1" applyProtection="1">
      <alignment horizontal="center" vertical="center"/>
      <protection hidden="1"/>
    </xf>
    <xf numFmtId="168" fontId="5" fillId="2" borderId="1" xfId="2" applyNumberFormat="1" applyFont="1" applyFill="1" applyBorder="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2" fontId="6" fillId="2" borderId="9" xfId="0" applyNumberFormat="1" applyFont="1" applyFill="1" applyBorder="1" applyAlignment="1" applyProtection="1">
      <alignment horizontal="center" vertical="center"/>
      <protection hidden="1"/>
    </xf>
    <xf numFmtId="166" fontId="6" fillId="4" borderId="1" xfId="2" applyNumberFormat="1" applyFont="1" applyFill="1" applyBorder="1" applyAlignment="1" applyProtection="1">
      <alignment horizontal="center" vertical="center"/>
      <protection hidden="1"/>
    </xf>
    <xf numFmtId="166" fontId="8" fillId="4" borderId="1" xfId="2" applyNumberFormat="1" applyFont="1" applyFill="1" applyBorder="1" applyAlignment="1" applyProtection="1">
      <alignment horizontal="center" vertical="center"/>
      <protection hidden="1"/>
    </xf>
    <xf numFmtId="4" fontId="5" fillId="2" borderId="1" xfId="2" applyNumberFormat="1" applyFont="1" applyFill="1" applyBorder="1" applyAlignment="1" applyProtection="1">
      <alignment horizontal="center" vertical="center"/>
      <protection hidden="1"/>
    </xf>
    <xf numFmtId="171" fontId="5" fillId="2" borderId="1" xfId="2" applyNumberFormat="1" applyFont="1" applyFill="1" applyBorder="1" applyAlignment="1" applyProtection="1">
      <alignment horizontal="center" vertical="center"/>
      <protection hidden="1"/>
    </xf>
    <xf numFmtId="1" fontId="5" fillId="2" borderId="1" xfId="2" applyNumberFormat="1" applyFont="1" applyFill="1" applyBorder="1" applyAlignment="1" applyProtection="1">
      <alignment horizontal="center" vertical="center"/>
      <protection hidden="1"/>
    </xf>
    <xf numFmtId="166" fontId="6" fillId="2" borderId="1" xfId="2" applyNumberFormat="1" applyFont="1" applyFill="1" applyBorder="1" applyAlignment="1" applyProtection="1">
      <alignment horizontal="center" vertical="center"/>
      <protection hidden="1"/>
    </xf>
    <xf numFmtId="166" fontId="8" fillId="2" borderId="1" xfId="2" applyNumberFormat="1" applyFont="1" applyFill="1" applyBorder="1" applyAlignment="1" applyProtection="1">
      <alignment horizontal="center" vertical="center"/>
      <protection hidden="1"/>
    </xf>
    <xf numFmtId="0" fontId="5" fillId="0" borderId="0" xfId="2" applyFont="1" applyAlignment="1" applyProtection="1">
      <alignment horizontal="right" vertical="center" indent="1"/>
      <protection hidden="1"/>
    </xf>
    <xf numFmtId="1" fontId="5" fillId="3" borderId="1" xfId="2" applyNumberFormat="1" applyFont="1" applyFill="1" applyBorder="1" applyAlignment="1" applyProtection="1">
      <alignment horizontal="center" vertical="center"/>
      <protection locked="0" hidden="1"/>
    </xf>
    <xf numFmtId="171" fontId="5" fillId="3" borderId="1" xfId="3" applyNumberFormat="1" applyFont="1" applyFill="1" applyBorder="1" applyAlignment="1" applyProtection="1">
      <alignment horizontal="center" vertical="center"/>
      <protection locked="0" hidden="1"/>
    </xf>
    <xf numFmtId="165" fontId="5" fillId="3" borderId="1" xfId="2" applyNumberFormat="1" applyFont="1" applyFill="1" applyBorder="1" applyAlignment="1" applyProtection="1">
      <alignment horizontal="center" vertical="center"/>
      <protection locked="0" hidden="1"/>
    </xf>
    <xf numFmtId="2" fontId="5" fillId="5" borderId="1" xfId="2" applyNumberFormat="1" applyFont="1" applyFill="1" applyBorder="1" applyAlignment="1" applyProtection="1">
      <alignment horizontal="center" vertical="center" wrapText="1"/>
      <protection locked="0" hidden="1"/>
    </xf>
    <xf numFmtId="168" fontId="5" fillId="3" borderId="1" xfId="2" applyNumberFormat="1" applyFont="1" applyFill="1" applyBorder="1" applyAlignment="1" applyProtection="1">
      <alignment horizontal="center" vertical="center"/>
      <protection locked="0" hidden="1"/>
    </xf>
    <xf numFmtId="0" fontId="5" fillId="0" borderId="0" xfId="2" applyFont="1" applyFill="1" applyBorder="1" applyAlignment="1" applyProtection="1">
      <alignment horizontal="center" vertical="center"/>
      <protection hidden="1"/>
    </xf>
    <xf numFmtId="0" fontId="11" fillId="0" borderId="0" xfId="2" applyFont="1" applyFill="1" applyBorder="1" applyAlignment="1" applyProtection="1">
      <alignment horizontal="center" vertical="center" wrapText="1"/>
      <protection hidden="1"/>
    </xf>
    <xf numFmtId="166" fontId="11" fillId="0" borderId="0" xfId="2" applyNumberFormat="1" applyFont="1" applyFill="1" applyBorder="1" applyAlignment="1" applyProtection="1">
      <alignment horizontal="center" vertical="center"/>
      <protection hidden="1"/>
    </xf>
    <xf numFmtId="164" fontId="11" fillId="0" borderId="0" xfId="0" applyNumberFormat="1" applyFont="1" applyFill="1" applyBorder="1" applyAlignment="1" applyProtection="1">
      <alignment horizontal="center" vertical="center"/>
      <protection hidden="1"/>
    </xf>
    <xf numFmtId="165" fontId="11" fillId="0" borderId="0" xfId="0" applyNumberFormat="1" applyFont="1" applyFill="1" applyBorder="1" applyAlignment="1" applyProtection="1">
      <alignment horizontal="center" vertical="center"/>
      <protection hidden="1"/>
    </xf>
    <xf numFmtId="166" fontId="11" fillId="0" borderId="0" xfId="2" applyNumberFormat="1" applyFont="1" applyFill="1" applyBorder="1" applyAlignment="1" applyProtection="1">
      <alignment horizontal="center" vertical="center" wrapText="1"/>
      <protection hidden="1"/>
    </xf>
    <xf numFmtId="166" fontId="11" fillId="0" borderId="0" xfId="0" applyNumberFormat="1" applyFont="1" applyFill="1" applyBorder="1" applyAlignment="1" applyProtection="1">
      <alignment horizontal="center" vertical="center"/>
      <protection hidden="1"/>
    </xf>
    <xf numFmtId="165" fontId="11" fillId="0" borderId="0" xfId="2" applyNumberFormat="1" applyFont="1" applyFill="1" applyBorder="1" applyAlignment="1" applyProtection="1">
      <alignment horizontal="center" vertical="center"/>
      <protection hidden="1"/>
    </xf>
    <xf numFmtId="0" fontId="11" fillId="0" borderId="0" xfId="2" applyFont="1" applyFill="1" applyBorder="1" applyAlignment="1" applyProtection="1">
      <alignment horizontal="center" vertical="center"/>
      <protection hidden="1"/>
    </xf>
    <xf numFmtId="2" fontId="11" fillId="0" borderId="0" xfId="2" applyNumberFormat="1" applyFont="1" applyFill="1" applyBorder="1" applyAlignment="1" applyProtection="1">
      <alignment horizontal="center" vertical="center" wrapText="1"/>
      <protection hidden="1"/>
    </xf>
    <xf numFmtId="166" fontId="11" fillId="0" borderId="0" xfId="3" applyNumberFormat="1" applyFont="1" applyFill="1" applyBorder="1" applyAlignment="1" applyProtection="1">
      <alignment horizontal="center" vertical="center"/>
      <protection hidden="1"/>
    </xf>
    <xf numFmtId="168" fontId="11" fillId="0" borderId="0" xfId="2" applyNumberFormat="1" applyFont="1" applyFill="1" applyBorder="1" applyAlignment="1" applyProtection="1">
      <alignment horizontal="center" vertical="center"/>
      <protection hidden="1"/>
    </xf>
    <xf numFmtId="0" fontId="11" fillId="0" borderId="0" xfId="3" applyFont="1" applyFill="1" applyBorder="1" applyAlignment="1" applyProtection="1">
      <alignment horizontal="center" vertical="center"/>
      <protection hidden="1"/>
    </xf>
    <xf numFmtId="2" fontId="11" fillId="0" borderId="0" xfId="3" applyNumberFormat="1" applyFont="1" applyFill="1" applyBorder="1" applyAlignment="1" applyProtection="1">
      <alignment horizontal="center" vertical="center"/>
      <protection hidden="1"/>
    </xf>
    <xf numFmtId="2" fontId="11" fillId="0" borderId="0" xfId="2" applyNumberFormat="1" applyFont="1" applyFill="1" applyBorder="1" applyAlignment="1" applyProtection="1">
      <alignment horizontal="center" vertical="center"/>
      <protection hidden="1"/>
    </xf>
    <xf numFmtId="169" fontId="11" fillId="0" borderId="0" xfId="4" applyNumberFormat="1" applyFont="1" applyFill="1" applyBorder="1" applyAlignment="1" applyProtection="1">
      <alignment horizontal="center" vertical="center"/>
      <protection hidden="1"/>
    </xf>
    <xf numFmtId="167" fontId="11" fillId="0" borderId="0" xfId="2" applyNumberFormat="1" applyFont="1" applyFill="1" applyBorder="1" applyAlignment="1" applyProtection="1">
      <alignment horizontal="center" vertical="center"/>
      <protection hidden="1"/>
    </xf>
    <xf numFmtId="166" fontId="11" fillId="0" borderId="0" xfId="4" applyNumberFormat="1" applyFont="1" applyFill="1" applyBorder="1" applyAlignment="1" applyProtection="1">
      <alignment horizontal="center" vertical="center"/>
      <protection hidden="1"/>
    </xf>
    <xf numFmtId="164" fontId="11" fillId="0" borderId="0" xfId="2" applyNumberFormat="1" applyFont="1" applyFill="1" applyBorder="1" applyAlignment="1" applyProtection="1">
      <alignment horizontal="center" vertical="center"/>
      <protection hidden="1"/>
    </xf>
    <xf numFmtId="4" fontId="11" fillId="0" borderId="0" xfId="2" applyNumberFormat="1" applyFont="1" applyFill="1" applyBorder="1" applyAlignment="1" applyProtection="1">
      <alignment horizontal="center" vertical="center"/>
      <protection hidden="1"/>
    </xf>
    <xf numFmtId="4" fontId="11" fillId="0" borderId="0" xfId="2" applyNumberFormat="1" applyFont="1" applyFill="1" applyBorder="1" applyAlignment="1" applyProtection="1">
      <alignment horizontal="center" vertical="center" wrapText="1"/>
      <protection hidden="1"/>
    </xf>
    <xf numFmtId="49" fontId="11" fillId="0" borderId="0" xfId="3" applyNumberFormat="1" applyFont="1" applyFill="1" applyBorder="1" applyAlignment="1" applyProtection="1">
      <alignment horizontal="center" vertical="center"/>
      <protection hidden="1"/>
    </xf>
    <xf numFmtId="0" fontId="5" fillId="2" borderId="10" xfId="2" applyFont="1" applyFill="1" applyBorder="1" applyAlignment="1" applyProtection="1">
      <alignment horizontal="center" vertical="center"/>
      <protection hidden="1"/>
    </xf>
    <xf numFmtId="0" fontId="5" fillId="2" borderId="11" xfId="2" applyFont="1" applyFill="1" applyBorder="1" applyAlignment="1" applyProtection="1">
      <alignment horizontal="center" vertical="center"/>
      <protection hidden="1"/>
    </xf>
    <xf numFmtId="0" fontId="5" fillId="2" borderId="12" xfId="2" applyFont="1" applyFill="1" applyBorder="1" applyAlignment="1" applyProtection="1">
      <alignment horizontal="center" vertical="center"/>
      <protection hidden="1"/>
    </xf>
    <xf numFmtId="0" fontId="12" fillId="2" borderId="0" xfId="2" applyFont="1" applyFill="1" applyBorder="1" applyAlignment="1" applyProtection="1">
      <alignment horizontal="center" vertical="center" wrapText="1"/>
      <protection hidden="1"/>
    </xf>
    <xf numFmtId="166" fontId="12" fillId="2" borderId="0" xfId="2" applyNumberFormat="1" applyFont="1" applyFill="1" applyBorder="1" applyAlignment="1" applyProtection="1">
      <alignment horizontal="center" vertical="center" wrapText="1"/>
      <protection hidden="1"/>
    </xf>
    <xf numFmtId="166" fontId="12" fillId="2" borderId="0" xfId="2" applyNumberFormat="1" applyFont="1" applyFill="1" applyBorder="1" applyAlignment="1" applyProtection="1">
      <alignment horizontal="center" vertical="center"/>
      <protection hidden="1"/>
    </xf>
    <xf numFmtId="2" fontId="12" fillId="2" borderId="0" xfId="2" applyNumberFormat="1" applyFont="1" applyFill="1" applyBorder="1" applyAlignment="1" applyProtection="1">
      <alignment horizontal="center" vertical="center" wrapText="1"/>
      <protection hidden="1"/>
    </xf>
    <xf numFmtId="0" fontId="12" fillId="2" borderId="0" xfId="0" applyFont="1" applyFill="1" applyBorder="1" applyAlignment="1" applyProtection="1">
      <alignment horizontal="center" vertical="center" wrapText="1"/>
      <protection hidden="1"/>
    </xf>
    <xf numFmtId="0" fontId="12" fillId="2" borderId="0" xfId="0" applyFont="1" applyFill="1" applyBorder="1" applyAlignment="1" applyProtection="1">
      <alignment horizontal="right" vertical="center" wrapText="1" indent="1"/>
      <protection hidden="1"/>
    </xf>
    <xf numFmtId="49" fontId="12" fillId="2" borderId="0" xfId="0" applyNumberFormat="1" applyFont="1" applyFill="1" applyBorder="1" applyAlignment="1" applyProtection="1">
      <alignment horizontal="center" vertical="center" wrapText="1"/>
      <protection hidden="1"/>
    </xf>
    <xf numFmtId="49" fontId="12" fillId="2" borderId="0" xfId="2" applyNumberFormat="1" applyFont="1" applyFill="1" applyBorder="1" applyAlignment="1" applyProtection="1">
      <alignment horizontal="center" vertical="center" wrapText="1"/>
      <protection hidden="1"/>
    </xf>
    <xf numFmtId="2" fontId="12" fillId="2" borderId="0" xfId="2" applyNumberFormat="1" applyFont="1" applyFill="1" applyBorder="1" applyAlignment="1" applyProtection="1">
      <alignment horizontal="right" vertical="center" wrapText="1" indent="1"/>
      <protection hidden="1"/>
    </xf>
    <xf numFmtId="0" fontId="12" fillId="2" borderId="0" xfId="2"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textRotation="90" wrapText="1"/>
      <protection locked="0" hidden="1"/>
    </xf>
    <xf numFmtId="0" fontId="5" fillId="2" borderId="8"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left" vertical="center" wrapText="1"/>
      <protection hidden="1"/>
    </xf>
    <xf numFmtId="0" fontId="5" fillId="2" borderId="5"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2" fontId="5" fillId="2" borderId="1" xfId="2" applyNumberFormat="1" applyFont="1" applyFill="1" applyBorder="1" applyAlignment="1" applyProtection="1">
      <alignment horizontal="center" textRotation="90"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9" xfId="2" applyFont="1" applyFill="1" applyBorder="1" applyAlignment="1" applyProtection="1">
      <alignment horizontal="center" vertical="center"/>
      <protection hidden="1"/>
    </xf>
    <xf numFmtId="2" fontId="6" fillId="2" borderId="1" xfId="2" applyNumberFormat="1" applyFont="1" applyFill="1" applyBorder="1" applyAlignment="1" applyProtection="1">
      <alignment horizontal="right" vertical="center" wrapText="1" indent="1"/>
      <protection hidden="1"/>
    </xf>
    <xf numFmtId="2" fontId="6" fillId="2" borderId="9" xfId="2" applyNumberFormat="1" applyFont="1" applyFill="1" applyBorder="1" applyAlignment="1" applyProtection="1">
      <alignment horizontal="right" vertical="center" wrapText="1" indent="1"/>
      <protection hidden="1"/>
    </xf>
    <xf numFmtId="2" fontId="9" fillId="3" borderId="1" xfId="2" applyNumberFormat="1" applyFont="1" applyFill="1" applyBorder="1" applyAlignment="1" applyProtection="1">
      <alignment horizontal="center" vertical="center" textRotation="90" wrapText="1"/>
      <protection locked="0" hidden="1"/>
    </xf>
    <xf numFmtId="170" fontId="10" fillId="2" borderId="9" xfId="2" applyNumberFormat="1" applyFont="1" applyFill="1" applyBorder="1" applyAlignment="1" applyProtection="1">
      <alignment horizontal="center" vertical="center" textRotation="90" wrapText="1"/>
      <protection hidden="1"/>
    </xf>
    <xf numFmtId="2" fontId="5" fillId="2" borderId="1" xfId="0" applyNumberFormat="1" applyFont="1" applyFill="1" applyBorder="1" applyAlignment="1" applyProtection="1">
      <alignment horizontal="center" textRotation="90" wrapText="1"/>
      <protection hidden="1"/>
    </xf>
    <xf numFmtId="0" fontId="5" fillId="3" borderId="1" xfId="2" applyFont="1" applyFill="1" applyBorder="1" applyAlignment="1" applyProtection="1">
      <alignment horizontal="center" vertical="center" textRotation="90" wrapText="1"/>
      <protection locked="0" hidden="1"/>
    </xf>
    <xf numFmtId="2" fontId="7" fillId="2" borderId="1" xfId="2" applyNumberFormat="1" applyFont="1" applyFill="1" applyBorder="1" applyAlignment="1" applyProtection="1">
      <alignment horizontal="center" textRotation="90" wrapText="1"/>
      <protection hidden="1"/>
    </xf>
  </cellXfs>
  <cellStyles count="6">
    <cellStyle name="Açıklama Metni" xfId="1" builtinId="53" customBuiltin="1"/>
    <cellStyle name="Normal" xfId="0" builtinId="0"/>
    <cellStyle name="Normal 2" xfId="2" xr:uid="{00000000-0005-0000-0000-000003000000}"/>
    <cellStyle name="Normal 2 2" xfId="3" xr:uid="{00000000-0005-0000-0000-000004000000}"/>
    <cellStyle name="Virgül 2" xfId="5" xr:uid="{00000000-0005-0000-0000-000005000000}"/>
    <cellStyle name="Yüzde 2" xfId="4" xr:uid="{00000000-0005-0000-0000-00000600000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FE699"/>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5E0B4"/>
      <rgbColor rgb="FFFFFF99"/>
      <rgbColor rgb="FF99CCFF"/>
      <rgbColor rgb="FFFF99CC"/>
      <rgbColor rgb="FFCC99FF"/>
      <rgbColor rgb="FFF8CBAD"/>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AEEF3"/>
      <color rgb="FFC8E1B4"/>
      <color rgb="FF003300"/>
      <color rgb="FF9933FF"/>
      <color rgb="FFAAD7E1"/>
      <color rgb="FFAAD7DC"/>
      <color rgb="FFAAD7E6"/>
      <color rgb="FFAACDE6"/>
      <color rgb="FFAFCDE6"/>
      <color rgb="FFAFE1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821142851852943"/>
          <c:y val="1.6407513119655142E-2"/>
          <c:w val="0.22938183964581099"/>
          <c:h val="0.96718497376068968"/>
        </c:manualLayout>
      </c:layout>
      <c:barChart>
        <c:barDir val="bar"/>
        <c:grouping val="clustered"/>
        <c:varyColors val="0"/>
        <c:ser>
          <c:idx val="0"/>
          <c:order val="0"/>
          <c:spPr>
            <a:solidFill>
              <a:schemeClr val="tx1"/>
            </a:solidFill>
            <a:ln>
              <a:noFill/>
            </a:ln>
            <a:effectLst/>
          </c:spPr>
          <c:invertIfNegative val="0"/>
          <c:dPt>
            <c:idx val="11"/>
            <c:invertIfNegative val="0"/>
            <c:bubble3D val="0"/>
            <c:spPr>
              <a:solidFill>
                <a:schemeClr val="tx1"/>
              </a:solidFill>
              <a:ln>
                <a:noFill/>
              </a:ln>
              <a:effectLst/>
            </c:spPr>
            <c:extLst>
              <c:ext xmlns:c16="http://schemas.microsoft.com/office/drawing/2014/chart" uri="{C3380CC4-5D6E-409C-BE32-E72D297353CC}">
                <c16:uniqueId val="{00000027-15C5-4CF9-A126-8061EA1D968F}"/>
              </c:ext>
            </c:extLst>
          </c:dPt>
          <c:dPt>
            <c:idx val="12"/>
            <c:invertIfNegative val="0"/>
            <c:bubble3D val="0"/>
            <c:spPr>
              <a:solidFill>
                <a:schemeClr val="tx1"/>
              </a:solidFill>
              <a:ln>
                <a:noFill/>
              </a:ln>
              <a:effectLst/>
            </c:spPr>
            <c:extLst>
              <c:ext xmlns:c16="http://schemas.microsoft.com/office/drawing/2014/chart" uri="{C3380CC4-5D6E-409C-BE32-E72D297353CC}">
                <c16:uniqueId val="{00000028-15C5-4CF9-A126-8061EA1D968F}"/>
              </c:ext>
            </c:extLst>
          </c:dPt>
          <c:dPt>
            <c:idx val="13"/>
            <c:invertIfNegative val="0"/>
            <c:bubble3D val="0"/>
            <c:spPr>
              <a:solidFill>
                <a:srgbClr val="C00000"/>
              </a:solidFill>
              <a:ln>
                <a:noFill/>
              </a:ln>
              <a:effectLst/>
            </c:spPr>
            <c:extLst>
              <c:ext xmlns:c16="http://schemas.microsoft.com/office/drawing/2014/chart" uri="{C3380CC4-5D6E-409C-BE32-E72D297353CC}">
                <c16:uniqueId val="{00000029-15C5-4CF9-A126-8061EA1D968F}"/>
              </c:ext>
            </c:extLst>
          </c:dPt>
          <c:dPt>
            <c:idx val="14"/>
            <c:invertIfNegative val="0"/>
            <c:bubble3D val="0"/>
            <c:spPr>
              <a:solidFill>
                <a:srgbClr val="C00000"/>
              </a:solidFill>
              <a:ln>
                <a:noFill/>
              </a:ln>
              <a:effectLst/>
            </c:spPr>
            <c:extLst>
              <c:ext xmlns:c16="http://schemas.microsoft.com/office/drawing/2014/chart" uri="{C3380CC4-5D6E-409C-BE32-E72D297353CC}">
                <c16:uniqueId val="{0000002A-15C5-4CF9-A126-8061EA1D968F}"/>
              </c:ext>
            </c:extLst>
          </c:dPt>
          <c:dPt>
            <c:idx val="15"/>
            <c:invertIfNegative val="0"/>
            <c:bubble3D val="0"/>
            <c:spPr>
              <a:solidFill>
                <a:srgbClr val="C00000"/>
              </a:solidFill>
              <a:ln>
                <a:noFill/>
              </a:ln>
              <a:effectLst/>
            </c:spPr>
            <c:extLst>
              <c:ext xmlns:c16="http://schemas.microsoft.com/office/drawing/2014/chart" uri="{C3380CC4-5D6E-409C-BE32-E72D297353CC}">
                <c16:uniqueId val="{0000002B-15C5-4CF9-A126-8061EA1D968F}"/>
              </c:ext>
            </c:extLst>
          </c:dPt>
          <c:dPt>
            <c:idx val="16"/>
            <c:invertIfNegative val="0"/>
            <c:bubble3D val="0"/>
            <c:spPr>
              <a:solidFill>
                <a:srgbClr val="C00000"/>
              </a:solidFill>
              <a:ln>
                <a:noFill/>
              </a:ln>
              <a:effectLst/>
            </c:spPr>
            <c:extLst>
              <c:ext xmlns:c16="http://schemas.microsoft.com/office/drawing/2014/chart" uri="{C3380CC4-5D6E-409C-BE32-E72D297353CC}">
                <c16:uniqueId val="{0000002C-15C5-4CF9-A126-8061EA1D968F}"/>
              </c:ext>
            </c:extLst>
          </c:dPt>
          <c:dPt>
            <c:idx val="17"/>
            <c:invertIfNegative val="0"/>
            <c:bubble3D val="0"/>
            <c:spPr>
              <a:solidFill>
                <a:srgbClr val="C00000"/>
              </a:solidFill>
              <a:ln>
                <a:noFill/>
              </a:ln>
              <a:effectLst/>
            </c:spPr>
            <c:extLst>
              <c:ext xmlns:c16="http://schemas.microsoft.com/office/drawing/2014/chart" uri="{C3380CC4-5D6E-409C-BE32-E72D297353CC}">
                <c16:uniqueId val="{0000002D-15C5-4CF9-A126-8061EA1D968F}"/>
              </c:ext>
            </c:extLst>
          </c:dPt>
          <c:dPt>
            <c:idx val="18"/>
            <c:invertIfNegative val="0"/>
            <c:bubble3D val="0"/>
            <c:spPr>
              <a:solidFill>
                <a:srgbClr val="C00000"/>
              </a:solidFill>
              <a:ln>
                <a:noFill/>
              </a:ln>
              <a:effectLst/>
            </c:spPr>
            <c:extLst>
              <c:ext xmlns:c16="http://schemas.microsoft.com/office/drawing/2014/chart" uri="{C3380CC4-5D6E-409C-BE32-E72D297353CC}">
                <c16:uniqueId val="{00000035-A4A2-45DA-80C4-C019A0994E83}"/>
              </c:ext>
            </c:extLst>
          </c:dPt>
          <c:dPt>
            <c:idx val="19"/>
            <c:invertIfNegative val="0"/>
            <c:bubble3D val="0"/>
            <c:spPr>
              <a:solidFill>
                <a:schemeClr val="bg1">
                  <a:lumMod val="50000"/>
                </a:schemeClr>
              </a:solidFill>
              <a:ln>
                <a:noFill/>
              </a:ln>
              <a:effectLst/>
            </c:spPr>
            <c:extLst>
              <c:ext xmlns:c16="http://schemas.microsoft.com/office/drawing/2014/chart" uri="{C3380CC4-5D6E-409C-BE32-E72D297353CC}">
                <c16:uniqueId val="{00000036-A4A2-45DA-80C4-C019A0994E83}"/>
              </c:ext>
            </c:extLst>
          </c:dPt>
          <c:dPt>
            <c:idx val="20"/>
            <c:invertIfNegative val="0"/>
            <c:bubble3D val="0"/>
            <c:spPr>
              <a:solidFill>
                <a:schemeClr val="tx1"/>
              </a:solidFill>
              <a:ln>
                <a:noFill/>
              </a:ln>
              <a:effectLst/>
            </c:spPr>
            <c:extLst>
              <c:ext xmlns:c16="http://schemas.microsoft.com/office/drawing/2014/chart" uri="{C3380CC4-5D6E-409C-BE32-E72D297353CC}">
                <c16:uniqueId val="{0000000F-45CA-4018-8A5C-C7D91A61B798}"/>
              </c:ext>
            </c:extLst>
          </c:dPt>
          <c:dPt>
            <c:idx val="21"/>
            <c:invertIfNegative val="0"/>
            <c:bubble3D val="0"/>
            <c:spPr>
              <a:solidFill>
                <a:schemeClr val="tx1"/>
              </a:solidFill>
              <a:ln>
                <a:noFill/>
              </a:ln>
              <a:effectLst/>
            </c:spPr>
            <c:extLst>
              <c:ext xmlns:c16="http://schemas.microsoft.com/office/drawing/2014/chart" uri="{C3380CC4-5D6E-409C-BE32-E72D297353CC}">
                <c16:uniqueId val="{0000000E-45CA-4018-8A5C-C7D91A61B798}"/>
              </c:ext>
            </c:extLst>
          </c:dPt>
          <c:dPt>
            <c:idx val="22"/>
            <c:invertIfNegative val="0"/>
            <c:bubble3D val="0"/>
            <c:spPr>
              <a:solidFill>
                <a:schemeClr val="tx1"/>
              </a:solidFill>
              <a:ln>
                <a:noFill/>
              </a:ln>
              <a:effectLst/>
            </c:spPr>
            <c:extLst>
              <c:ext xmlns:c16="http://schemas.microsoft.com/office/drawing/2014/chart" uri="{C3380CC4-5D6E-409C-BE32-E72D297353CC}">
                <c16:uniqueId val="{0000000D-45CA-4018-8A5C-C7D91A61B798}"/>
              </c:ext>
            </c:extLst>
          </c:dPt>
          <c:dPt>
            <c:idx val="23"/>
            <c:invertIfNegative val="0"/>
            <c:bubble3D val="0"/>
            <c:spPr>
              <a:solidFill>
                <a:schemeClr val="tx1"/>
              </a:solidFill>
              <a:ln>
                <a:noFill/>
              </a:ln>
              <a:effectLst/>
            </c:spPr>
            <c:extLst>
              <c:ext xmlns:c16="http://schemas.microsoft.com/office/drawing/2014/chart" uri="{C3380CC4-5D6E-409C-BE32-E72D297353CC}">
                <c16:uniqueId val="{00000015-E42F-428B-802F-3B6F8ADE344D}"/>
              </c:ext>
            </c:extLst>
          </c:dPt>
          <c:dPt>
            <c:idx val="24"/>
            <c:invertIfNegative val="0"/>
            <c:bubble3D val="0"/>
            <c:spPr>
              <a:solidFill>
                <a:schemeClr val="tx1"/>
              </a:solidFill>
              <a:ln>
                <a:noFill/>
              </a:ln>
              <a:effectLst/>
            </c:spPr>
            <c:extLst>
              <c:ext xmlns:c16="http://schemas.microsoft.com/office/drawing/2014/chart" uri="{C3380CC4-5D6E-409C-BE32-E72D297353CC}">
                <c16:uniqueId val="{0000000A-45CA-4018-8A5C-C7D91A61B798}"/>
              </c:ext>
            </c:extLst>
          </c:dPt>
          <c:dPt>
            <c:idx val="25"/>
            <c:invertIfNegative val="0"/>
            <c:bubble3D val="0"/>
            <c:spPr>
              <a:solidFill>
                <a:schemeClr val="tx1"/>
              </a:solidFill>
              <a:ln>
                <a:noFill/>
              </a:ln>
              <a:effectLst/>
            </c:spPr>
            <c:extLst>
              <c:ext xmlns:c16="http://schemas.microsoft.com/office/drawing/2014/chart" uri="{C3380CC4-5D6E-409C-BE32-E72D297353CC}">
                <c16:uniqueId val="{00000009-45CA-4018-8A5C-C7D91A61B798}"/>
              </c:ext>
            </c:extLst>
          </c:dPt>
          <c:dPt>
            <c:idx val="26"/>
            <c:invertIfNegative val="0"/>
            <c:bubble3D val="0"/>
            <c:spPr>
              <a:solidFill>
                <a:srgbClr val="C00000"/>
              </a:solidFill>
              <a:ln>
                <a:noFill/>
              </a:ln>
              <a:effectLst/>
            </c:spPr>
            <c:extLst>
              <c:ext xmlns:c16="http://schemas.microsoft.com/office/drawing/2014/chart" uri="{C3380CC4-5D6E-409C-BE32-E72D297353CC}">
                <c16:uniqueId val="{0000000B-45CA-4018-8A5C-C7D91A61B798}"/>
              </c:ext>
            </c:extLst>
          </c:dPt>
          <c:dPt>
            <c:idx val="27"/>
            <c:invertIfNegative val="0"/>
            <c:bubble3D val="0"/>
            <c:spPr>
              <a:solidFill>
                <a:srgbClr val="C00000"/>
              </a:solidFill>
              <a:ln>
                <a:noFill/>
              </a:ln>
              <a:effectLst/>
            </c:spPr>
            <c:extLst>
              <c:ext xmlns:c16="http://schemas.microsoft.com/office/drawing/2014/chart" uri="{C3380CC4-5D6E-409C-BE32-E72D297353CC}">
                <c16:uniqueId val="{00000008-45CA-4018-8A5C-C7D91A61B798}"/>
              </c:ext>
            </c:extLst>
          </c:dPt>
          <c:dPt>
            <c:idx val="28"/>
            <c:invertIfNegative val="0"/>
            <c:bubble3D val="0"/>
            <c:spPr>
              <a:solidFill>
                <a:srgbClr val="C00000"/>
              </a:solidFill>
              <a:ln>
                <a:noFill/>
              </a:ln>
              <a:effectLst/>
            </c:spPr>
            <c:extLst>
              <c:ext xmlns:c16="http://schemas.microsoft.com/office/drawing/2014/chart" uri="{C3380CC4-5D6E-409C-BE32-E72D297353CC}">
                <c16:uniqueId val="{0000000C-45CA-4018-8A5C-C7D91A61B798}"/>
              </c:ext>
            </c:extLst>
          </c:dPt>
          <c:dPt>
            <c:idx val="29"/>
            <c:invertIfNegative val="0"/>
            <c:bubble3D val="0"/>
            <c:spPr>
              <a:solidFill>
                <a:srgbClr val="C00000"/>
              </a:solidFill>
              <a:ln>
                <a:noFill/>
              </a:ln>
              <a:effectLst/>
            </c:spPr>
            <c:extLst>
              <c:ext xmlns:c16="http://schemas.microsoft.com/office/drawing/2014/chart" uri="{C3380CC4-5D6E-409C-BE32-E72D297353CC}">
                <c16:uniqueId val="{00000007-45CA-4018-8A5C-C7D91A61B798}"/>
              </c:ext>
            </c:extLst>
          </c:dPt>
          <c:dPt>
            <c:idx val="30"/>
            <c:invertIfNegative val="0"/>
            <c:bubble3D val="0"/>
            <c:spPr>
              <a:solidFill>
                <a:srgbClr val="C00000"/>
              </a:solidFill>
              <a:ln>
                <a:noFill/>
              </a:ln>
              <a:effectLst/>
            </c:spPr>
            <c:extLst>
              <c:ext xmlns:c16="http://schemas.microsoft.com/office/drawing/2014/chart" uri="{C3380CC4-5D6E-409C-BE32-E72D297353CC}">
                <c16:uniqueId val="{00000013-D68E-4191-8C49-7635405731D1}"/>
              </c:ext>
            </c:extLst>
          </c:dPt>
          <c:dPt>
            <c:idx val="31"/>
            <c:invertIfNegative val="0"/>
            <c:bubble3D val="0"/>
            <c:spPr>
              <a:solidFill>
                <a:srgbClr val="C00000"/>
              </a:solidFill>
              <a:ln>
                <a:noFill/>
              </a:ln>
              <a:effectLst/>
            </c:spPr>
            <c:extLst>
              <c:ext xmlns:c16="http://schemas.microsoft.com/office/drawing/2014/chart" uri="{C3380CC4-5D6E-409C-BE32-E72D297353CC}">
                <c16:uniqueId val="{00000017-D7E6-45C6-BD44-9DAF6A5B6F82}"/>
              </c:ext>
            </c:extLst>
          </c:dPt>
          <c:dPt>
            <c:idx val="32"/>
            <c:invertIfNegative val="0"/>
            <c:bubble3D val="0"/>
            <c:spPr>
              <a:solidFill>
                <a:srgbClr val="C00000"/>
              </a:solidFill>
              <a:ln>
                <a:noFill/>
              </a:ln>
              <a:effectLst/>
            </c:spPr>
            <c:extLst>
              <c:ext xmlns:c16="http://schemas.microsoft.com/office/drawing/2014/chart" uri="{C3380CC4-5D6E-409C-BE32-E72D297353CC}">
                <c16:uniqueId val="{00000018-D7E6-45C6-BD44-9DAF6A5B6F82}"/>
              </c:ext>
            </c:extLst>
          </c:dPt>
          <c:dPt>
            <c:idx val="33"/>
            <c:invertIfNegative val="0"/>
            <c:bubble3D val="0"/>
            <c:spPr>
              <a:solidFill>
                <a:srgbClr val="C00000"/>
              </a:solidFill>
              <a:ln>
                <a:noFill/>
              </a:ln>
              <a:effectLst/>
            </c:spPr>
            <c:extLst>
              <c:ext xmlns:c16="http://schemas.microsoft.com/office/drawing/2014/chart" uri="{C3380CC4-5D6E-409C-BE32-E72D297353CC}">
                <c16:uniqueId val="{0000001D-B20F-4A15-8DC8-56B8EB5F98BA}"/>
              </c:ext>
            </c:extLst>
          </c:dPt>
          <c:dPt>
            <c:idx val="34"/>
            <c:invertIfNegative val="0"/>
            <c:bubble3D val="0"/>
            <c:spPr>
              <a:solidFill>
                <a:srgbClr val="C00000"/>
              </a:solidFill>
              <a:ln>
                <a:noFill/>
              </a:ln>
              <a:effectLst/>
            </c:spPr>
            <c:extLst>
              <c:ext xmlns:c16="http://schemas.microsoft.com/office/drawing/2014/chart" uri="{C3380CC4-5D6E-409C-BE32-E72D297353CC}">
                <c16:uniqueId val="{0000001C-B20F-4A15-8DC8-56B8EB5F98BA}"/>
              </c:ext>
            </c:extLst>
          </c:dPt>
          <c:dPt>
            <c:idx val="35"/>
            <c:invertIfNegative val="0"/>
            <c:bubble3D val="0"/>
            <c:spPr>
              <a:solidFill>
                <a:srgbClr val="C00000"/>
              </a:solidFill>
              <a:ln>
                <a:noFill/>
              </a:ln>
              <a:effectLst/>
            </c:spPr>
            <c:extLst>
              <c:ext xmlns:c16="http://schemas.microsoft.com/office/drawing/2014/chart" uri="{C3380CC4-5D6E-409C-BE32-E72D297353CC}">
                <c16:uniqueId val="{0000001E-B20F-4A15-8DC8-56B8EB5F98BA}"/>
              </c:ext>
            </c:extLst>
          </c:dPt>
          <c:dPt>
            <c:idx val="36"/>
            <c:invertIfNegative val="0"/>
            <c:bubble3D val="0"/>
            <c:spPr>
              <a:solidFill>
                <a:srgbClr val="C00000"/>
              </a:solidFill>
              <a:ln>
                <a:noFill/>
              </a:ln>
              <a:effectLst/>
            </c:spPr>
            <c:extLst>
              <c:ext xmlns:c16="http://schemas.microsoft.com/office/drawing/2014/chart" uri="{C3380CC4-5D6E-409C-BE32-E72D297353CC}">
                <c16:uniqueId val="{0000001B-B20F-4A15-8DC8-56B8EB5F98BA}"/>
              </c:ext>
            </c:extLst>
          </c:dPt>
          <c:dPt>
            <c:idx val="37"/>
            <c:invertIfNegative val="0"/>
            <c:bubble3D val="0"/>
            <c:spPr>
              <a:solidFill>
                <a:srgbClr val="C00000"/>
              </a:solidFill>
              <a:ln>
                <a:noFill/>
              </a:ln>
              <a:effectLst/>
            </c:spPr>
            <c:extLst>
              <c:ext xmlns:c16="http://schemas.microsoft.com/office/drawing/2014/chart" uri="{C3380CC4-5D6E-409C-BE32-E72D297353CC}">
                <c16:uniqueId val="{00000023-8CC3-4E54-9960-0F980A27CEC9}"/>
              </c:ext>
            </c:extLst>
          </c:dPt>
          <c:dPt>
            <c:idx val="38"/>
            <c:invertIfNegative val="0"/>
            <c:bubble3D val="0"/>
            <c:spPr>
              <a:solidFill>
                <a:schemeClr val="bg1">
                  <a:lumMod val="50000"/>
                </a:schemeClr>
              </a:solidFill>
              <a:ln>
                <a:noFill/>
              </a:ln>
              <a:effectLst/>
            </c:spPr>
            <c:extLst>
              <c:ext xmlns:c16="http://schemas.microsoft.com/office/drawing/2014/chart" uri="{C3380CC4-5D6E-409C-BE32-E72D297353CC}">
                <c16:uniqueId val="{00000024-8CC3-4E54-9960-0F980A27CEC9}"/>
              </c:ext>
            </c:extLst>
          </c:dPt>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tr-T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'Özet Tablo'!$T$1:$T$20</c:f>
              <c:strCache>
                <c:ptCount val="20"/>
                <c:pt idx="0">
                  <c:v>Normal Çalışma</c:v>
                </c:pt>
                <c:pt idx="1">
                  <c:v>Kıdem Yardımı</c:v>
                </c:pt>
                <c:pt idx="2">
                  <c:v>Fazla Çalışma (Gündüz / Gece)</c:v>
                </c:pt>
                <c:pt idx="3">
                  <c:v>Resmi Tatillerde Çalışma</c:v>
                </c:pt>
                <c:pt idx="4">
                  <c:v>Yemek Yardımı</c:v>
                </c:pt>
                <c:pt idx="5">
                  <c:v>Ulaşım Yardımı</c:v>
                </c:pt>
                <c:pt idx="6">
                  <c:v>İkramiye Yardımı</c:v>
                </c:pt>
                <c:pt idx="7">
                  <c:v>Sosyal Yardım</c:v>
                </c:pt>
                <c:pt idx="8">
                  <c:v>Görev Primi</c:v>
                </c:pt>
                <c:pt idx="9">
                  <c:v>İş Güçlüğü Primi</c:v>
                </c:pt>
                <c:pt idx="10">
                  <c:v>İş Riski Primi</c:v>
                </c:pt>
                <c:pt idx="11">
                  <c:v>Mâli Sorumluluk Primi</c:v>
                </c:pt>
                <c:pt idx="12">
                  <c:v>Nakdi Yardımlar</c:v>
                </c:pt>
                <c:pt idx="13">
                  <c:v>Sendika Üyelik Aidatı Kesintisi</c:v>
                </c:pt>
                <c:pt idx="14">
                  <c:v>BES Kesintisi</c:v>
                </c:pt>
                <c:pt idx="15">
                  <c:v>Damga Vergisi Kesintisi</c:v>
                </c:pt>
                <c:pt idx="16">
                  <c:v>SGK Prim Kesintisi</c:v>
                </c:pt>
                <c:pt idx="17">
                  <c:v>SGK İşsizlik Primi Kesintisi</c:v>
                </c:pt>
                <c:pt idx="18">
                  <c:v>Gelir Vergisi Kesintisi</c:v>
                </c:pt>
                <c:pt idx="19">
                  <c:v>İşveren Maliyeti</c:v>
                </c:pt>
              </c:strCache>
            </c:strRef>
          </c:cat>
          <c:val>
            <c:numRef>
              <c:f>'Özet Tablo'!$U$1:$U$20</c:f>
              <c:numCache>
                <c:formatCode>#,##0.00\ "₺"</c:formatCode>
                <c:ptCount val="20"/>
                <c:pt idx="0">
                  <c:v>62216.37999999999</c:v>
                </c:pt>
                <c:pt idx="1">
                  <c:v>0</c:v>
                </c:pt>
                <c:pt idx="2">
                  <c:v>0</c:v>
                </c:pt>
                <c:pt idx="3">
                  <c:v>0</c:v>
                </c:pt>
                <c:pt idx="4">
                  <c:v>10080</c:v>
                </c:pt>
                <c:pt idx="5">
                  <c:v>6662.18</c:v>
                </c:pt>
                <c:pt idx="6">
                  <c:v>20434.199999999997</c:v>
                </c:pt>
                <c:pt idx="7">
                  <c:v>4792.26</c:v>
                </c:pt>
                <c:pt idx="8">
                  <c:v>0</c:v>
                </c:pt>
                <c:pt idx="9">
                  <c:v>0</c:v>
                </c:pt>
                <c:pt idx="10">
                  <c:v>0</c:v>
                </c:pt>
                <c:pt idx="11">
                  <c:v>0</c:v>
                </c:pt>
                <c:pt idx="12">
                  <c:v>0</c:v>
                </c:pt>
                <c:pt idx="13">
                  <c:v>2301.3024396158949</c:v>
                </c:pt>
                <c:pt idx="14">
                  <c:v>0</c:v>
                </c:pt>
                <c:pt idx="15">
                  <c:v>550.11999999999989</c:v>
                </c:pt>
                <c:pt idx="16">
                  <c:v>19400.47</c:v>
                </c:pt>
                <c:pt idx="17">
                  <c:v>1385.75</c:v>
                </c:pt>
                <c:pt idx="18">
                  <c:v>15320.64</c:v>
                </c:pt>
                <c:pt idx="19">
                  <c:v>164647.98209999999</c:v>
                </c:pt>
              </c:numCache>
            </c:numRef>
          </c:val>
          <c:extLst>
            <c:ext xmlns:c16="http://schemas.microsoft.com/office/drawing/2014/chart" uri="{C3380CC4-5D6E-409C-BE32-E72D297353CC}">
              <c16:uniqueId val="{00000000-755B-478D-AB69-BF223AA4AC7C}"/>
            </c:ext>
          </c:extLst>
        </c:ser>
        <c:dLbls>
          <c:dLblPos val="outEnd"/>
          <c:showLegendKey val="0"/>
          <c:showVal val="1"/>
          <c:showCatName val="0"/>
          <c:showSerName val="0"/>
          <c:showPercent val="0"/>
          <c:showBubbleSize val="0"/>
        </c:dLbls>
        <c:gapWidth val="182"/>
        <c:axId val="552148752"/>
        <c:axId val="552147112"/>
      </c:barChart>
      <c:catAx>
        <c:axId val="552148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tr-TR"/>
          </a:p>
        </c:txPr>
        <c:crossAx val="552147112"/>
        <c:crosses val="autoZero"/>
        <c:auto val="1"/>
        <c:lblAlgn val="ctr"/>
        <c:lblOffset val="100"/>
        <c:tickMarkSkip val="1"/>
        <c:noMultiLvlLbl val="0"/>
      </c:catAx>
      <c:valAx>
        <c:axId val="552147112"/>
        <c:scaling>
          <c:orientation val="minMax"/>
        </c:scaling>
        <c:delete val="1"/>
        <c:axPos val="t"/>
        <c:numFmt formatCode="#,##0.00\ &quot;₺&quot;" sourceLinked="1"/>
        <c:majorTickMark val="out"/>
        <c:minorTickMark val="none"/>
        <c:tickLblPos val="nextTo"/>
        <c:crossAx val="552148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600"/>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explosion val="4"/>
            <c:spPr>
              <a:solidFill>
                <a:schemeClr val="tx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D9F-40F4-A256-823C9FF01F41}"/>
              </c:ext>
            </c:extLst>
          </c:dPt>
          <c:dPt>
            <c:idx val="1"/>
            <c:bubble3D val="0"/>
            <c:explosion val="5"/>
            <c:spPr>
              <a:solidFill>
                <a:srgbClr val="C00000"/>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D9F-40F4-A256-823C9FF01F41}"/>
              </c:ext>
            </c:extLst>
          </c:dPt>
          <c:dLbls>
            <c:dLbl>
              <c:idx val="0"/>
              <c:layout>
                <c:manualLayout>
                  <c:x val="0"/>
                  <c:y val="-0.2727330235099843"/>
                </c:manualLayout>
              </c:layout>
              <c:tx>
                <c:rich>
                  <a:bodyPr rot="0" spcFirstLastPara="1" vertOverflow="ellipsis" vert="horz" wrap="square" lIns="0" tIns="0" rIns="0" bIns="0" anchor="ctr" anchorCtr="0">
                    <a:noAutofit/>
                  </a:bodyPr>
                  <a:lstStyle/>
                  <a:p>
                    <a:pPr lvl="1" algn="ctr" rtl="0">
                      <a:defRPr sz="2000" b="1" i="0" u="none" strike="noStrike" kern="1200" baseline="0">
                        <a:solidFill>
                          <a:sysClr val="windowText" lastClr="000000"/>
                        </a:solidFill>
                        <a:latin typeface="+mn-lt"/>
                        <a:ea typeface="+mn-ea"/>
                        <a:cs typeface="+mn-cs"/>
                      </a:defRPr>
                    </a:pPr>
                    <a:r>
                      <a:rPr lang="en-US" sz="2000" i="0" u="sng" baseline="0">
                        <a:solidFill>
                          <a:sysClr val="windowText" lastClr="000000"/>
                        </a:solidFill>
                      </a:rPr>
                      <a:t>Kazançlar</a:t>
                    </a:r>
                  </a:p>
                  <a:p>
                    <a:pPr lvl="1" algn="ctr" rtl="0">
                      <a:defRPr sz="2000" b="1" i="0" u="none" strike="noStrike" kern="1200" baseline="0">
                        <a:solidFill>
                          <a:sysClr val="windowText" lastClr="000000"/>
                        </a:solidFill>
                        <a:latin typeface="+mn-lt"/>
                        <a:ea typeface="+mn-ea"/>
                        <a:cs typeface="+mn-cs"/>
                      </a:defRPr>
                    </a:pPr>
                    <a:fld id="{18CB9E8E-A975-43C0-A56F-BEEBC923E687}" type="VALU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[DEĞER]</a:t>
                    </a:fld>
                    <a:endParaRPr lang="en-US" sz="2000" i="0" baseline="0">
                      <a:solidFill>
                        <a:sysClr val="windowText" lastClr="000000"/>
                      </a:solidFill>
                    </a:endParaRPr>
                  </a:p>
                  <a:p>
                    <a:pPr lvl="1" algn="ctr" rtl="0">
                      <a:defRPr sz="2000" b="1" i="0" u="none" strike="noStrike" kern="1200" baseline="0">
                        <a:solidFill>
                          <a:sysClr val="windowText" lastClr="000000"/>
                        </a:solidFill>
                        <a:latin typeface="+mn-lt"/>
                        <a:ea typeface="+mn-ea"/>
                        <a:cs typeface="+mn-cs"/>
                      </a:defRPr>
                    </a:pPr>
                    <a:fld id="{ED1D6583-AC77-4CB8-8AE1-8BB6A6F10BE5}" type="PERCENTAGE">
                      <a:rPr lang="en-US" sz="2000" i="0">
                        <a:solidFill>
                          <a:sysClr val="windowText" lastClr="000000"/>
                        </a:solidFill>
                      </a:rPr>
                      <a:pPr lvl="1" algn="ctr" rtl="0">
                        <a:defRPr sz="2000" b="1" i="0" u="none" strike="noStrike" kern="1200" baseline="0">
                          <a:solidFill>
                            <a:sysClr val="windowText" lastClr="0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2"/>
                    </c:manualLayout>
                  </c15:layout>
                  <c15:dlblFieldTable/>
                  <c15:showDataLabelsRange val="0"/>
                </c:ext>
                <c:ext xmlns:c16="http://schemas.microsoft.com/office/drawing/2014/chart" uri="{C3380CC4-5D6E-409C-BE32-E72D297353CC}">
                  <c16:uniqueId val="{00000001-5D9F-40F4-A256-823C9FF01F41}"/>
                </c:ext>
              </c:extLst>
            </c:dLbl>
            <c:dLbl>
              <c:idx val="1"/>
              <c:layout>
                <c:manualLayout>
                  <c:x val="0"/>
                  <c:y val="0.28660887761598208"/>
                </c:manualLayout>
              </c:layout>
              <c:tx>
                <c:rich>
                  <a:bodyPr rot="0" spcFirstLastPara="1" vertOverflow="ellipsis" vert="horz" wrap="square" lIns="0" tIns="0" rIns="0" bIns="0" anchor="t" anchorCtr="0">
                    <a:noAutofit/>
                  </a:bodyPr>
                  <a:lstStyle/>
                  <a:p>
                    <a:pPr lvl="1" algn="ctr" rtl="0">
                      <a:defRPr sz="2000" b="1" i="0" u="none" strike="noStrike" kern="1200" baseline="0">
                        <a:solidFill>
                          <a:srgbClr val="C00000"/>
                        </a:solidFill>
                        <a:latin typeface="+mn-lt"/>
                        <a:ea typeface="+mn-ea"/>
                        <a:cs typeface="+mn-cs"/>
                      </a:defRPr>
                    </a:pPr>
                    <a:r>
                      <a:rPr lang="en-US" sz="2000" b="1" i="0" u="sng" strike="noStrike" baseline="0">
                        <a:solidFill>
                          <a:srgbClr val="C00000"/>
                        </a:solidFill>
                      </a:rPr>
                      <a:t>Kesintiler</a:t>
                    </a:r>
                    <a:br>
                      <a:rPr lang="en-US" sz="2000" b="1" i="0" u="none" strike="noStrike" baseline="0">
                        <a:solidFill>
                          <a:srgbClr val="C00000"/>
                        </a:solidFill>
                      </a:rPr>
                    </a:br>
                    <a:fld id="{D48269F3-90DB-4B96-9E27-A88140910F88}" type="VALUE">
                      <a:rPr lang="en-US" sz="2000">
                        <a:solidFill>
                          <a:srgbClr val="C00000"/>
                        </a:solidFill>
                      </a:rPr>
                      <a:pPr lvl="1" algn="ctr" rtl="0">
                        <a:defRPr sz="2000" b="1" i="0" u="none" strike="noStrike" kern="1200" baseline="0">
                          <a:solidFill>
                            <a:srgbClr val="C00000"/>
                          </a:solidFill>
                          <a:latin typeface="+mn-lt"/>
                          <a:ea typeface="+mn-ea"/>
                          <a:cs typeface="+mn-cs"/>
                        </a:defRPr>
                      </a:pPr>
                      <a:t>[DEĞER]</a:t>
                    </a:fld>
                    <a:endParaRPr lang="en-US" sz="2000" baseline="0">
                      <a:solidFill>
                        <a:srgbClr val="C00000"/>
                      </a:solidFill>
                    </a:endParaRPr>
                  </a:p>
                  <a:p>
                    <a:pPr lvl="1" algn="ctr" rtl="0">
                      <a:defRPr sz="2000" b="1" i="0" u="none" strike="noStrike" kern="1200" baseline="0">
                        <a:solidFill>
                          <a:srgbClr val="C00000"/>
                        </a:solidFill>
                        <a:latin typeface="+mn-lt"/>
                        <a:ea typeface="+mn-ea"/>
                        <a:cs typeface="+mn-cs"/>
                      </a:defRPr>
                    </a:pPr>
                    <a:fld id="{C4F91586-97B1-4B5B-B426-9B699746C01D}" type="PERCENTAGE">
                      <a:rPr lang="en-US" sz="2000">
                        <a:solidFill>
                          <a:srgbClr val="C00000"/>
                        </a:solidFill>
                      </a:rPr>
                      <a:pPr lvl="1" algn="ctr" rtl="0">
                        <a:defRPr sz="2000" b="1" i="0" u="none" strike="noStrike" kern="1200" baseline="0">
                          <a:solidFill>
                            <a:srgbClr val="C00000"/>
                          </a:solidFill>
                          <a:latin typeface="+mn-lt"/>
                          <a:ea typeface="+mn-ea"/>
                          <a:cs typeface="+mn-cs"/>
                        </a:defRPr>
                      </a:pPr>
                      <a:t>[YÜZDE]</a:t>
                    </a:fld>
                    <a:endParaRPr lang="tr-TR"/>
                  </a:p>
                </c:rich>
              </c:tx>
              <c:numFmt formatCode="%\ 0.00" sourceLinked="0"/>
              <c:spPr>
                <a:noFill/>
                <a:ln>
                  <a:noFill/>
                </a:ln>
                <a:effectLst/>
              </c:spPr>
              <c:dLblPos val="bestFit"/>
              <c:showLegendKey val="0"/>
              <c:showVal val="0"/>
              <c:showCatName val="0"/>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1"/>
                      <c:h val="0.18251962962962964"/>
                    </c:manualLayout>
                  </c15:layout>
                  <c15:dlblFieldTable/>
                  <c15:showDataLabelsRange val="0"/>
                </c:ext>
                <c:ext xmlns:c16="http://schemas.microsoft.com/office/drawing/2014/chart" uri="{C3380CC4-5D6E-409C-BE32-E72D297353CC}">
                  <c16:uniqueId val="{00000003-5D9F-40F4-A256-823C9FF01F41}"/>
                </c:ext>
              </c:extLst>
            </c:dLbl>
            <c:numFmt formatCode="%\ 0.00" sourceLinked="0"/>
            <c:spPr>
              <a:noFill/>
              <a:ln>
                <a:noFill/>
              </a:ln>
              <a:effectLst/>
            </c:spPr>
            <c:txPr>
              <a:bodyPr rot="0" spcFirstLastPara="1" vertOverflow="ellipsis" vert="horz" wrap="square" lIns="0" tIns="0" rIns="0" bIns="0" anchor="ctr" anchorCtr="0">
                <a:spAutoFit/>
              </a:bodyPr>
              <a:lstStyle/>
              <a:p>
                <a:pPr algn="ctr">
                  <a:defRPr sz="1300" b="1" i="0" u="none" strike="noStrike" kern="1200" baseline="0">
                    <a:solidFill>
                      <a:schemeClr val="lt1"/>
                    </a:solidFill>
                    <a:latin typeface="+mn-lt"/>
                    <a:ea typeface="+mn-ea"/>
                    <a:cs typeface="+mn-cs"/>
                  </a:defRPr>
                </a:pPr>
                <a:endParaRPr lang="tr-TR"/>
              </a:p>
            </c:txPr>
            <c:dLblPos val="ctr"/>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'Özet Tablo'!$T$21:$T$22</c:f>
              <c:strCache>
                <c:ptCount val="2"/>
                <c:pt idx="0">
                  <c:v>Kazançlar</c:v>
                </c:pt>
                <c:pt idx="1">
                  <c:v>Kesintiler</c:v>
                </c:pt>
              </c:strCache>
            </c:strRef>
          </c:cat>
          <c:val>
            <c:numRef>
              <c:f>'Özet Tablo'!$U$21:$U$22</c:f>
              <c:numCache>
                <c:formatCode>#,##0.00\ "₺"</c:formatCode>
                <c:ptCount val="2"/>
                <c:pt idx="0">
                  <c:v>102370.45756038409</c:v>
                </c:pt>
                <c:pt idx="1">
                  <c:v>38958.282439615898</c:v>
                </c:pt>
              </c:numCache>
            </c:numRef>
          </c:val>
          <c:extLst>
            <c:ext xmlns:c16="http://schemas.microsoft.com/office/drawing/2014/chart" uri="{C3380CC4-5D6E-409C-BE32-E72D297353CC}">
              <c16:uniqueId val="{00000004-5D9F-40F4-A256-823C9FF01F41}"/>
            </c:ext>
          </c:extLst>
        </c:ser>
        <c:dLbls>
          <c:dLblPos val="inEnd"/>
          <c:showLegendKey val="0"/>
          <c:showVal val="1"/>
          <c:showCatName val="1"/>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no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23</xdr:col>
      <xdr:colOff>53463</xdr:colOff>
      <xdr:row>0</xdr:row>
      <xdr:rowOff>70921</xdr:rowOff>
    </xdr:from>
    <xdr:to>
      <xdr:col>23</xdr:col>
      <xdr:colOff>7290954</xdr:colOff>
      <xdr:row>27</xdr:row>
      <xdr:rowOff>398319</xdr:rowOff>
    </xdr:to>
    <xdr:graphicFrame macro="">
      <xdr:nvGraphicFramePr>
        <xdr:cNvPr id="7" name="Grafik 6">
          <a:extLst>
            <a:ext uri="{FF2B5EF4-FFF2-40B4-BE49-F238E27FC236}">
              <a16:creationId xmlns:a16="http://schemas.microsoft.com/office/drawing/2014/main" id="{80F8C963-D5D5-4BCD-8610-182E47B88E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23</xdr:col>
      <xdr:colOff>4966692</xdr:colOff>
      <xdr:row>8</xdr:row>
      <xdr:rowOff>125886</xdr:rowOff>
    </xdr:from>
    <xdr:to>
      <xdr:col>23</xdr:col>
      <xdr:colOff>7306692</xdr:colOff>
      <xdr:row>19</xdr:row>
      <xdr:rowOff>5969</xdr:rowOff>
    </xdr:to>
    <xdr:graphicFrame macro="">
      <xdr:nvGraphicFramePr>
        <xdr:cNvPr id="3" name="Grafik 2">
          <a:extLst>
            <a:ext uri="{FF2B5EF4-FFF2-40B4-BE49-F238E27FC236}">
              <a16:creationId xmlns:a16="http://schemas.microsoft.com/office/drawing/2014/main" id="{7ADA3213-C9FB-42E9-8CD0-901898DBD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PrintsWithSheet="0"/>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SK363"/>
  <sheetViews>
    <sheetView showGridLines="0" showRowColHeaders="0" tabSelected="1" showWhiteSpace="0" zoomScale="40" zoomScaleNormal="40" zoomScaleSheetLayoutView="40" zoomScalePageLayoutView="55" workbookViewId="0">
      <pane xSplit="2" topLeftCell="C1" activePane="topRight" state="frozen"/>
      <selection pane="topRight" sqref="A1:A14"/>
    </sheetView>
  </sheetViews>
  <sheetFormatPr defaultColWidth="0" defaultRowHeight="39.950000000000003" customHeight="1" zeroHeight="1" x14ac:dyDescent="0.25"/>
  <cols>
    <col min="1" max="16" width="12.7109375" style="2" customWidth="1"/>
    <col min="17" max="19" width="20.7109375" style="2" customWidth="1"/>
    <col min="20" max="22" width="0.140625" style="19" customWidth="1"/>
    <col min="23" max="23" width="5.7109375" style="1" customWidth="1"/>
    <col min="24" max="24" width="110.7109375" style="2" customWidth="1"/>
    <col min="25" max="26" width="20.7109375" style="53" hidden="1" customWidth="1"/>
    <col min="27" max="28" width="5.7109375" style="1" customWidth="1"/>
    <col min="29" max="29" width="80.7109375" style="1" customWidth="1"/>
    <col min="30" max="30" width="5.7109375" style="1" customWidth="1"/>
    <col min="31" max="106" width="5.7109375" style="27" hidden="1" customWidth="1"/>
    <col min="107" max="109" width="20.7109375" style="27" hidden="1" customWidth="1"/>
    <col min="110" max="110" width="1.7109375" style="2" customWidth="1"/>
    <col min="111" max="505" width="0" style="2" hidden="1" customWidth="1"/>
    <col min="506" max="16384" width="5.7109375" style="2" hidden="1"/>
  </cols>
  <sheetData>
    <row r="1" spans="1:110" ht="39.950000000000003" customHeight="1" x14ac:dyDescent="0.25">
      <c r="A1" s="68" t="s">
        <v>126</v>
      </c>
      <c r="B1" s="69">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C1" s="61" t="s">
        <v>59</v>
      </c>
      <c r="D1" s="61" t="s">
        <v>60</v>
      </c>
      <c r="E1" s="70" t="s">
        <v>76</v>
      </c>
      <c r="F1" s="61" t="s">
        <v>61</v>
      </c>
      <c r="G1" s="61" t="s">
        <v>146</v>
      </c>
      <c r="H1" s="61" t="s">
        <v>146</v>
      </c>
      <c r="I1" s="61" t="s">
        <v>152</v>
      </c>
      <c r="J1" s="61" t="s">
        <v>153</v>
      </c>
      <c r="K1" s="61" t="s">
        <v>154</v>
      </c>
      <c r="L1" s="61" t="s">
        <v>155</v>
      </c>
      <c r="M1" s="61" t="s">
        <v>62</v>
      </c>
      <c r="N1" s="61" t="s">
        <v>62</v>
      </c>
      <c r="O1" s="61" t="s">
        <v>62</v>
      </c>
      <c r="P1" s="61" t="s">
        <v>63</v>
      </c>
      <c r="Q1" s="61" t="s">
        <v>77</v>
      </c>
      <c r="R1" s="61" t="s">
        <v>79</v>
      </c>
      <c r="S1" s="72" t="s">
        <v>74</v>
      </c>
      <c r="T1" s="44" t="s">
        <v>32</v>
      </c>
      <c r="U1" s="45">
        <f t="shared" ref="U1:U4" si="0">IF(V1&gt;0,V1,V1*-1)</f>
        <v>62216.37999999999</v>
      </c>
      <c r="V1" s="45">
        <f>COUNTIF(W1,"Ocak")*(BC16)
+COUNTIF(W1,"Şubat")*(BC17)
+COUNTIF(W1,"Mart")*(AT18)
+COUNTIF(W1,"Nisan")*(AT1)
+COUNTIF(W1,"Mayıs")*(AT2)
+COUNTIF(W1,"Haziran")*(AT3)
+COUNTIF(W1,"Temmuz")*(AT19)
+COUNTIF(W1,"Ağustos")*(AT20)
+COUNTIF(W1,"Eylül")*(AT21)
+COUNTIF(W1,"Ekim")*(AT22)
+COUNTIF(W1,"Kasım")*(AT11)
+COUNTIF(W1,"Aralık")*(AT12)
+COUNTIF(W1,"Yıllık Toplam")*(BK11)
+COUNTIF(W1,"Yıllık Ortalama")*(BK12)</f>
        <v>62216.37999999999</v>
      </c>
      <c r="W1" s="71" t="s">
        <v>57</v>
      </c>
      <c r="X1" s="65"/>
      <c r="Y1" s="48" t="s">
        <v>25</v>
      </c>
      <c r="Z1" s="48" t="s">
        <v>78</v>
      </c>
      <c r="AA1" s="54" t="s">
        <v>43</v>
      </c>
      <c r="AB1" s="58"/>
      <c r="AC1" s="59"/>
      <c r="AD1" s="60"/>
      <c r="AE1" s="20" t="s">
        <v>81</v>
      </c>
      <c r="AF1" s="21">
        <v>221.11</v>
      </c>
      <c r="AG1" s="21">
        <v>221.11</v>
      </c>
      <c r="AH1" s="22">
        <f>(AI15+1)</f>
        <v>44652</v>
      </c>
      <c r="AI1" s="22">
        <f>EOMONTH(AH1,0)</f>
        <v>44681</v>
      </c>
      <c r="AJ1" s="23">
        <f>DAY(AI1)</f>
        <v>30</v>
      </c>
      <c r="AK1" s="23">
        <f>NETWORKDAYS.INTL(AH1,AI1,11)</f>
        <v>26</v>
      </c>
      <c r="AL1" s="23">
        <f>(AJ1-AK1)</f>
        <v>4</v>
      </c>
      <c r="AM1" s="24">
        <f ca="1">(AN1/CU21)</f>
        <v>209.11723153963433</v>
      </c>
      <c r="AN1"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1" s="24">
        <f ca="1">(AP1+CB21/AJ1*-1+CR21/AJ1*-1)/(CU21)</f>
        <v>177.5985620567624</v>
      </c>
      <c r="AP1"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1" s="24">
        <f ca="1">(AR1/CU21)</f>
        <v>209.11723153963433</v>
      </c>
      <c r="AR1"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S1" s="25">
        <f ca="1">(AO1*AJ1)</f>
        <v>5327.9568617028717</v>
      </c>
      <c r="AT1" s="21">
        <f>(AR1*AJ1)</f>
        <v>4485</v>
      </c>
      <c r="AU1" s="21">
        <f ca="1">(AV1/CU21)</f>
        <v>0</v>
      </c>
      <c r="AV1" s="21">
        <f>(7.84*C18)</f>
        <v>0</v>
      </c>
      <c r="AW1" s="21">
        <f ca="1">(AX1/CU21)</f>
        <v>0</v>
      </c>
      <c r="AX1" s="21">
        <f>(AR1/7.5*1.5*D18)</f>
        <v>0</v>
      </c>
      <c r="AY1" s="21">
        <f ca="1">(AZ1/CU21)</f>
        <v>0</v>
      </c>
      <c r="AZ1" s="21">
        <f>(AR1/7.5*2*E18)</f>
        <v>0</v>
      </c>
      <c r="BA1" s="21">
        <f ca="1">(BD1)</f>
        <v>1139.27</v>
      </c>
      <c r="BB1" s="21">
        <f>(42*F18)</f>
        <v>840</v>
      </c>
      <c r="BC1" s="21">
        <f>(BB1)</f>
        <v>840</v>
      </c>
      <c r="BD1" s="21">
        <f ca="1">ROUND((BC1+BE1*-1+BH1*-1+BI1*-1+BL1*-1),2)</f>
        <v>1139.27</v>
      </c>
      <c r="BE1" s="21">
        <f ca="1">(BD1*0.00759*-1)</f>
        <v>-8.6470593000000004</v>
      </c>
      <c r="BF1" s="21">
        <f>(10.01*F18)</f>
        <v>200.2</v>
      </c>
      <c r="BG1" s="21">
        <f ca="1">(BD1-BF1)</f>
        <v>939.06999999999994</v>
      </c>
      <c r="BH1" s="21">
        <f ca="1">(BG1*0.14*-1)</f>
        <v>-131.46979999999999</v>
      </c>
      <c r="BI1" s="21">
        <f ca="1">(BG1*0.01*-1)</f>
        <v>-9.3906999999999989</v>
      </c>
      <c r="BJ1" s="21">
        <f>(0)</f>
        <v>0</v>
      </c>
      <c r="BK1" s="21">
        <f ca="1">(BD1+BH1+BI1-BJ1)</f>
        <v>998.40949999999998</v>
      </c>
      <c r="BL1" s="21">
        <f ca="1">(BK1*CP21*-1)</f>
        <v>-149.761425</v>
      </c>
      <c r="BM1" s="26">
        <v>30</v>
      </c>
      <c r="BN1" s="21">
        <f ca="1">(BO1/BJ9)</f>
        <v>734.20241144703141</v>
      </c>
      <c r="BO1" s="21">
        <f>COUNTIF($A$1,"1S-Makine ve Elektrik Teknisyenleri-Üniversite")*(566.31/30*BM1)
+COUNTIF($A$1,"1S-Makine ve Elektrik Teknisyenleri-MYO")*(566.31/30*BM1)
+COUNTIF($A$1,"1S-Makine ve Elektrik Teknisyenleri-Lise")*(566.31/30*BM1)
+COUNTIF($A$1,"1S-Makine ve Elektrik Teknisyenleri-Ortaokul")*(566.31/30*BM1)
+COUNTIF($A$1,"1S-Makine ve Elektrik Teknisyenleri-İlkokul")*(566.31/30*BM1)
+COUNTIF($A$1,"1S-Yakıt Elemanı-Üniversite")*(566.31/30*BM1)
+COUNTIF($A$1,"1S-Yakıt Elemanı-MYO")*(566.31/30*BM1)
+COUNTIF($A$1,"1S-Yakıt Elemanı-Lise")*(566.31/30*BM1)
+COUNTIF($A$1,"1S-Yakıt Elemanı-Ortaokul")*(566.31/30*BM1)
+COUNTIF($A$1,"1S-Yakıt Elemanı-İlkokul")*(566.31/30*BM1)
+COUNTIF($A$1,"1S-Tanker Şoförü-Üniversite")*(566.31/30*BM1)
+COUNTIF($A$1,"1S-Tanker Şoförü-MYO")*(566.31/30*BM1)
+COUNTIF($A$1,"1S-Tanker Şoförü-Lise")*(566.31/30*BM1)
+COUNTIF($A$1,"1S-Tanker Şoförü-Ortaokul")*(566.31/30*BM1)
+COUNTIF($A$1,"1S-Tanker Şoförü-İlkokul")*(566.31/30*BM1)
+COUNTIF($A$1,"1S-Vinç Operatörü-Üniversite")*(566.31/30*BM1)
+COUNTIF($A$1,"1S-Vinç Operatörü-MYO")*(566.31/30*BM1)
+COUNTIF($A$1,"1S-Vinç Operatörü-Lise")*(566.31/30*BM1)
+COUNTIF($A$1,"1S-Vinç Operatörü-Ortaokul")*(566.31/30*BM1)
+COUNTIF($A$1,"1S-Vinç Operatörü-İlkokul")*(566.31/30*BM1)
+COUNTIF($A$1,"1S-Rampa Görevlisi-Üniversite")*(566.31/30*BM1)
+COUNTIF($A$1,"1S-Rampa Görevlisi-MYO")*(566.31/30*BM1)
+COUNTIF($A$1,"1S-Rampa Görevlisi-Lise")*(566.31/30*BM1)
+COUNTIF($A$1,"1S-Rampa Görevlisi-Ortaokul")*(566.31/30*BM1)
+COUNTIF($A$1,"1S-Rampa Görevlisi-İlkokul")*(566.31/30*BM1)
+COUNTIF($A$1,"1S-Yakıt Hizmetlisi-Üniversite")*(566.31/30*BM1)
+COUNTIF($A$1,"1S-Yakıt Hizmetlisi-MYO")*(566.31/30*BM1)
+COUNTIF($A$1,"1S-Yakıt Hizmetlisi-Lise")*(566.31/30*BM1)
+COUNTIF($A$1,"1S-Yakıt Hizmetlisi-Ortaokul")*(566.31/30*BM1)
+COUNTIF($A$1,"1S-Yakıt Hizmetlisi-İlkokul")*(566.31/30*BM1)
+COUNTIF($A$1,"2S-Rampa Görevlisi-Üniversite")*(450/30*BM1)
+COUNTIF($A$1,"2S-Rampa Görevlisi-MYO")*(450/30*BM1)
+COUNTIF($A$1,"2S-Rampa Görevlisi-Lise")*(450/30*BM1)
+COUNTIF($A$1,"2S-Rampa Görevlisi-Ortaokul")*(450/30*BM1)
+COUNTIF($A$1,"2S-Rampa Görevlisi-İlkokul")*(450/30*BM1)
+COUNTIF($A$1,"2S-Hizmetliler-Üniversite")*(450/30*BM1)
+COUNTIF($A$1,"2S-Hizmetliler-MYO")*(450/30*BM1)
+COUNTIF($A$1,"2S-Hizmetliler-Lise")*(450/30*BM1)
+COUNTIF($A$1,"2S-Hizmetliler-Ortaokul")*(450/30*BM1)
+COUNTIF($A$1,"2S-Hizmetliler-İlkokul")*(450/30*BM1)
+COUNTIF($A$1,"2S-Çaycı-Üniversite")*(450/30*BM1)
+COUNTIF($A$1,"2S-Çaycı-MYO")*(450/30*BM1)
+COUNTIF($A$1,"2S-Çaycı-Lise")*(450/30*BM1)
+COUNTIF($A$1,"2S-Çaycı-Ortaokul")*(450/30*BM1)
+COUNTIF($A$1,"2S-Çaycı-İlkokul")*(450/30*BM1)
+COUNTIF($A$1,"2S-Gişe Sorumlusu-Üniversite")*(450/30*BM1)
+COUNTIF($A$1,"2S-Gişe Sorumlusu-MYO")*(450/30*BM1)
+COUNTIF($A$1,"2S-Gişe Sorumlusu-Lise")*(450/30*BM1)
+COUNTIF($A$1,"2S-Gişe Sorumlusu-Ortaokul")*(450/30*BM1)
+COUNTIF($A$1,"2S-Gişe Sorumlusu-İlkokul")*(450/30*BM1)
+COUNTIF($A$1,"2S-Gişe Görevlisi-Üniversite")*(450/30*BM1)
+COUNTIF($A$1,"2S-Gişe Görevlisi-MYO")*(450/30*BM1)
+COUNTIF($A$1,"2S-Gişe Görevlisi-Lise")*(450/30*BM1)
+COUNTIF($A$1,"2S-Gişe Görevlisi-Ortaokul")*(450/30*BM1)
+COUNTIF($A$1,"2S-Gişe Görevlisi-İlkokul")*(450/30*BM1)
+COUNTIF($A$1,"2S-Terminal Görevlisi-Üniversite")*(450/30*BM1)
+COUNTIF($A$1,"2S-Terminal Görevlisi-MYO")*(450/30*BM1)
+COUNTIF($A$1,"2S-Terminal Görevlisi-Lise")*(450/30*BM1)
+COUNTIF($A$1,"2S-Terminal Görevlisi-Ortaokul")*(450/30*BM1)
+COUNTIF($A$1,"2S-Terminal Görevlisi-İlkokul")*(450/30*BM1)
+COUNTIF($A$1,"2S-İskele Görevlisi-Üniversite")*(450/30*BM1)
+COUNTIF($A$1,"2S-İskele Görevlisi-MYO")*(450/30*BM1)
+COUNTIF($A$1,"2S-İskele Görevlisi-Lise")*(450/30*BM1)
+COUNTIF($A$1,"2S-İskele Görevlisi-Ortaokul")*(450/30*BM1)
+COUNTIF($A$1,"2S-İskele Görevlisi-İlkokul")*(450/30*BM1)
+COUNTIF($A$1,"Atölye-Formen")*(450/30*BM1)
+COUNTIF($A$1,"Atölye-Teknisyen")*(450/30*BM1)
+COUNTIF($A$1,"Atölye-Ustabaşı")*(450/30*BM1)
+COUNTIF($A$1,"Atölye-Usta")*(450/30*BM1)
+COUNTIF($A$1,"Atölye-İşçi")*(450/30*BM1)</f>
        <v>450</v>
      </c>
      <c r="BP1" s="24">
        <f>COUNTIF(G25,"Yok")*(0)
+COUNTIF(G25,"Bakırköy")*(115.36/30*H25)
+COUNTIF(G25,"Bandırma")*(115.36/30*H25)
+COUNTIF(G25,"Bostancı")*(520.17/30*H25)
+COUNTIF(G25,"Bursa")*(520.17/30*H25)
+COUNTIF(G25,"Eskihisar")*(635.52/30*H25)
+COUNTIF(G25,"Harem")*(520.17/30*H25)
+COUNTIF(G25,"Kabataş")*(520.17/30*H25)
+COUNTIF(G25,"Kadıköy")*(520.17/30*H25)
+COUNTIF(G25,"Pendik")*(520.17/30*H25)
+COUNTIF(G25,"Sirkeci")*(520.17/30*H25)
+COUNTIF(G25,"Topçular")*(635.52/30*H25)
+COUNTIF(G25,"Yalova")*(635.52/30*H25)
+COUNTIF(G25,"Yenikapı")*(635.52/30*H25)</f>
        <v>0</v>
      </c>
      <c r="BQ1" s="24">
        <f>COUNTIF(G25,"Yok")*(0)
+COUNTIF(G25,"Bakırköy")*(98.58/30*H25)
+COUNTIF(G25,"Bandırma")*(98.58/30*H25)
+COUNTIF(G25,"Beşiktaş")*(98.58/30*H25)
+COUNTIF(G25,"Bostancı")*(98.58/30*H25)
+COUNTIF(G25,"Bursa")*(98.58/30*H25)
+COUNTIF(G25,"Eskihisar")*(98.58/30*H25)
+COUNTIF(G25,"Harem")*(98.58/30*H25)
+COUNTIF(G25,"Kabataş")*(98.58/30*H25)
+COUNTIF(G25,"Kadıköy")*(98.58/30*H25)
+COUNTIF(G25,"Pendik")*(98.58/30*H25)
+COUNTIF(G25,"Sirkeci")*(98.58/30*H25)
+COUNTIF(G25,"Topçular")*(98.58/30*H25)
+COUNTIF(G25,"Yalova")*(98.58/30*H25)
+COUNTIF(G25,"Yenikapı")*(98.58/30*H25)</f>
        <v>0</v>
      </c>
      <c r="BR1" s="24">
        <f>COUNTIF(G25,"Yok")*(0)
+COUNTIF(G25,"Bakırköy")*(264.27/30*H25)
+COUNTIF(G25,"Bandırma")*(125.85/30*H25)
+COUNTIF(G25,"Beşiktaş")*(264.27/30*H25)
+COUNTIF(G25,"Bostancı")*(264.27/30*H25)
+COUNTIF(G25,"Bursa")*(402.7/30*H25)
+COUNTIF(G25,"Eskihisar")*(402.7/30*H25)
+COUNTIF(G25,"Harem")*(402.7/30*H25)
+COUNTIF(G25,"Kabataş")*(264.27/30*H25)
+COUNTIF(G25,"Kadıköy")*(264.27/30*H25)
+COUNTIF(G25,"Maltepe")*(125.85/30*H25)
+COUNTIF(G25,"Pendik")*(264.27/30*H25)
+COUNTIF(G25,"Sirkeci")*(402.7/30*H25)
+COUNTIF(G25,"Topçular")*(402.7/30*H25)
+COUNTIF(G25,"Yalova")*(402.7/30*H25)
+COUNTIF(G25,"Yenikapı")*(402.7/30*H25)</f>
        <v>0</v>
      </c>
      <c r="BS1" s="24">
        <f>COUNTIF(G25,"Yok")*(0)
+COUNTIF(G25,"Eskihisar")*(83.89/30*H25)
+COUNTIF(G25,"Harem")*(83.89/30*H25)
+COUNTIF(G25,"Sirkeci")*(83.89/30*H25)
+COUNTIF(G25,"Topçular")*(83.89/30*H25)</f>
        <v>0</v>
      </c>
      <c r="BT1" s="21">
        <f ca="1">(BC25/CU19)</f>
        <v>0</v>
      </c>
      <c r="BU1" s="20" t="s">
        <v>1</v>
      </c>
      <c r="BV1" s="20" t="s">
        <v>80</v>
      </c>
      <c r="DF1" s="41"/>
    </row>
    <row r="2" spans="1:110" ht="39.950000000000003" customHeight="1" x14ac:dyDescent="0.25">
      <c r="A2" s="68"/>
      <c r="B2" s="69"/>
      <c r="C2" s="61"/>
      <c r="D2" s="61"/>
      <c r="E2" s="70"/>
      <c r="F2" s="61"/>
      <c r="G2" s="61"/>
      <c r="H2" s="61"/>
      <c r="I2" s="61"/>
      <c r="J2" s="61"/>
      <c r="K2" s="61"/>
      <c r="L2" s="61"/>
      <c r="M2" s="61"/>
      <c r="N2" s="61"/>
      <c r="O2" s="61"/>
      <c r="P2" s="61"/>
      <c r="Q2" s="61"/>
      <c r="R2" s="61"/>
      <c r="S2" s="72"/>
      <c r="T2" s="44" t="s">
        <v>4</v>
      </c>
      <c r="U2" s="45">
        <f t="shared" si="0"/>
        <v>0</v>
      </c>
      <c r="V2" s="45">
        <f>COUNTIF(W1,"Ocak")*(BE16)
+COUNTIF(W1,"Şubat")*(BE17)
+COUNTIF(W1,"Mart")*(AV18)
+COUNTIF(W1,"Nisan")*(AV1)
+COUNTIF(W1,"Mayıs")*(AV2)
+COUNTIF(W1,"Haziran")*(AV3)
+COUNTIF(W1,"Temmuz")*(AV19)
+COUNTIF(W1,"Ağustos")*(AV20)
+COUNTIF(W1,"Eylül")*(AV21)
+COUNTIF(W1,"Ekim")*(AV22)
+COUNTIF(W1,"Kasım")*(AV11)
+COUNTIF(W1,"Aralık")*(AV12)
+COUNTIF(W1,"Yıllık Toplam")*(BM11)
+COUNTIF(W1,"Yıllık Ortalama")*(BM12)</f>
        <v>0</v>
      </c>
      <c r="W2" s="71"/>
      <c r="X2" s="65"/>
      <c r="Y2" s="49" t="s">
        <v>24</v>
      </c>
      <c r="Z2" s="50" t="s">
        <v>162</v>
      </c>
      <c r="AA2" s="54"/>
      <c r="AB2" s="55"/>
      <c r="AC2" s="57" t="str">
        <f>IF($AA$1="Analık Hâli İzni",$Z$1,
IF($AA$1="Annelik İzni",$Z$2,
IF($AA$1="Babalık İzni",$Z$3,
IF($AA$1="Cenaze İzni",$Z$4,
IF($AA$1="Doğal Afet İzni",$Z$5,
IF($AA$1="Engelli Çocuk İzni",$Z$6,
IF($AA$1="Evlat Edinme İzni",$Z$7,
IF($AA$1="Evlilik İzni",$Z$8,
IF($AA$1="İş Arama İzni",$Z$9,
IF($AA$1="Mazeret İzni",$Z$10,
IF($AA$1="Süt İzni",$Z$11,
IF($AA$1="Ücretli Sendikal İzin ve Sendika Temsilci Sayısı",$Z$12,
IF($AA$1="Ücretli Yıllık İzin",$Z$13,
IF($AA$1="Yol İzni",$Z$14))))))))))))))</f>
        <v>a) 01.01.2009 Tarihinden Önce İşe Başlayanlar İçin:
Hizmeti 6 ay olanlar için 0 iş günü ücretli yıllık izin verilir.
Hizmeti 1-5 yıl olanlar için 14 iş günü ücretli yıllık izin verilir.
Hizmeti 5-10 yıl olanlar için 23 iş günü ücretli yıllık izin verilir.
Hizmeti 10-15 yıl olanlar için 23 iş günü ücretli yıllık izin verilir.
Hizmeti 15 yıldan fazla olanlar için 26 iş günü ücretli yıllık izin verilir.
b) 01.01.2009 Tarihinden Sonra İşe Başlayanlar İçin:
Hizmeti 6 ay olanlar için 0 iş günü ücretli yıllık izin verilir.
Hizmeti 1-5 yıl olanlar için 14 iş günü ücretli yıllık izin verilir.
Hizmeti 5-10 yıl olanlar için 20 iş günü ücretli yıllık izin verilir.
Hizmeti 10-15 yıl olanlar için 20 iş günü ücretli yıllık izin verilir.
Hizmeti 15 yıldan fazla olanlar için 26 iş günü ücretli yıllık izin verilir.</v>
      </c>
      <c r="AD2" s="56"/>
      <c r="AE2" s="20" t="s">
        <v>82</v>
      </c>
      <c r="AF2" s="21">
        <v>218.01</v>
      </c>
      <c r="AG2" s="21">
        <v>218.01</v>
      </c>
      <c r="AH2" s="22">
        <f>(AI1+1)</f>
        <v>44682</v>
      </c>
      <c r="AI2" s="22">
        <f>EOMONTH(AH2,0)</f>
        <v>44712</v>
      </c>
      <c r="AJ2" s="23">
        <f>DAY(AI2)</f>
        <v>31</v>
      </c>
      <c r="AK2" s="23">
        <f>NETWORKDAYS.INTL(AH2,AI2,11)</f>
        <v>26</v>
      </c>
      <c r="AL2" s="23">
        <f>(AJ2-AK2)</f>
        <v>5</v>
      </c>
      <c r="AM2" s="24">
        <f ca="1">(AN2/CU22)</f>
        <v>219.6720401038599</v>
      </c>
      <c r="AN2"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2" s="24">
        <f ca="1">(AP2+AY8/AJ2*-1+CR22/AJ2*-1)/(CU22)</f>
        <v>187.63057252985135</v>
      </c>
      <c r="AP2"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2" s="24">
        <f ca="1">(AR2/CU22)</f>
        <v>219.6720401038599</v>
      </c>
      <c r="AR2"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S2" s="25">
        <f ca="1">(AO2*AJ2)</f>
        <v>5816.5477484253915</v>
      </c>
      <c r="AT2" s="21">
        <f>(AR2*AJ2)</f>
        <v>4634.5</v>
      </c>
      <c r="AU2" s="21">
        <f ca="1">(AV2/CU22)</f>
        <v>0</v>
      </c>
      <c r="AV2" s="21">
        <f>(7.84*C19)</f>
        <v>0</v>
      </c>
      <c r="AW2" s="21">
        <f ca="1">(AX2/CU22)</f>
        <v>0</v>
      </c>
      <c r="AX2" s="21">
        <f>(AR2/7.5*1.5*D19)</f>
        <v>0</v>
      </c>
      <c r="AY2" s="21">
        <f ca="1">(AZ2/CU22)</f>
        <v>0</v>
      </c>
      <c r="AZ2" s="21">
        <f>(AR2/7.5*2*E19)</f>
        <v>0</v>
      </c>
      <c r="BA2" s="21">
        <f ca="1">(BD2)</f>
        <v>1198.56</v>
      </c>
      <c r="BB2" s="21">
        <f>(42*F19)</f>
        <v>840</v>
      </c>
      <c r="BC2" s="21">
        <f>(BB2)</f>
        <v>840</v>
      </c>
      <c r="BD2" s="21">
        <f ca="1">ROUND((BC2+BE2*-1+BH2*-1+BI2*-1+BL2*-1),2)</f>
        <v>1198.56</v>
      </c>
      <c r="BE2" s="21">
        <f ca="1">(BD2*0.00759*-1)</f>
        <v>-9.0970703999999998</v>
      </c>
      <c r="BF2" s="21">
        <f>(10.01*F19)</f>
        <v>200.2</v>
      </c>
      <c r="BG2" s="21">
        <f ca="1">(BD2-BF2)</f>
        <v>998.3599999999999</v>
      </c>
      <c r="BH2" s="21">
        <f ca="1">(BG2*0.14*-1)</f>
        <v>-139.7704</v>
      </c>
      <c r="BI2" s="21">
        <f ca="1">(BG2*0.01*-1)</f>
        <v>-9.9835999999999991</v>
      </c>
      <c r="BJ2" s="21">
        <f>(0)</f>
        <v>0</v>
      </c>
      <c r="BK2" s="21">
        <f ca="1">(BD2+BH2+BI2-BJ2)</f>
        <v>1048.806</v>
      </c>
      <c r="BL2" s="21">
        <f ca="1">(BK2*CP22*-1)</f>
        <v>-199.70502158866557</v>
      </c>
      <c r="BM2" s="26">
        <v>30</v>
      </c>
      <c r="BN2" s="21">
        <f ca="1">(BO2/BJ10)</f>
        <v>734.20241144703141</v>
      </c>
      <c r="BO2" s="21">
        <f>COUNTIF($A$1,"1S-Makine ve Elektrik Teknisyenleri-Üniversite")*(566.31/30*BM2)
+COUNTIF($A$1,"1S-Makine ve Elektrik Teknisyenleri-MYO")*(566.31/30*BM2)
+COUNTIF($A$1,"1S-Makine ve Elektrik Teknisyenleri-Lise")*(566.31/30*BM2)
+COUNTIF($A$1,"1S-Makine ve Elektrik Teknisyenleri-Ortaokul")*(566.31/30*BM2)
+COUNTIF($A$1,"1S-Makine ve Elektrik Teknisyenleri-İlkokul")*(566.31/30*BM2)
+COUNTIF($A$1,"1S-Yakıt Elemanı-Üniversite")*(566.31/30*BM2)
+COUNTIF($A$1,"1S-Yakıt Elemanı-MYO")*(566.31/30*BM2)
+COUNTIF($A$1,"1S-Yakıt Elemanı-Lise")*(566.31/30*BM2)
+COUNTIF($A$1,"1S-Yakıt Elemanı-Ortaokul")*(566.31/30*BM2)
+COUNTIF($A$1,"1S-Yakıt Elemanı-İlkokul")*(566.31/30*BM2)
+COUNTIF($A$1,"1S-Tanker Şoförü-Üniversite")*(566.31/30*BM2)
+COUNTIF($A$1,"1S-Tanker Şoförü-MYO")*(566.31/30*BM2)
+COUNTIF($A$1,"1S-Tanker Şoförü-Lise")*(566.31/30*BM2)
+COUNTIF($A$1,"1S-Tanker Şoförü-Ortaokul")*(566.31/30*BM2)
+COUNTIF($A$1,"1S-Tanker Şoförü-İlkokul")*(566.31/30*BM2)
+COUNTIF($A$1,"1S-Vinç Operatörü-Üniversite")*(566.31/30*BM2)
+COUNTIF($A$1,"1S-Vinç Operatörü-MYO")*(566.31/30*BM2)
+COUNTIF($A$1,"1S-Vinç Operatörü-Lise")*(566.31/30*BM2)
+COUNTIF($A$1,"1S-Vinç Operatörü-Ortaokul")*(566.31/30*BM2)
+COUNTIF($A$1,"1S-Vinç Operatörü-İlkokul")*(566.31/30*BM2)
+COUNTIF($A$1,"1S-Rampa Görevlisi-Üniversite")*(566.31/30*BM2)
+COUNTIF($A$1,"1S-Rampa Görevlisi-MYO")*(566.31/30*BM2)
+COUNTIF($A$1,"1S-Rampa Görevlisi-Lise")*(566.31/30*BM2)
+COUNTIF($A$1,"1S-Rampa Görevlisi-Ortaokul")*(566.31/30*BM2)
+COUNTIF($A$1,"1S-Rampa Görevlisi-İlkokul")*(566.31/30*BM2)
+COUNTIF($A$1,"1S-Yakıt Hizmetlisi-Üniversite")*(566.31/30*BM2)
+COUNTIF($A$1,"1S-Yakıt Hizmetlisi-MYO")*(566.31/30*BM2)
+COUNTIF($A$1,"1S-Yakıt Hizmetlisi-Lise")*(566.31/30*BM2)
+COUNTIF($A$1,"1S-Yakıt Hizmetlisi-Ortaokul")*(566.31/30*BM2)
+COUNTIF($A$1,"1S-Yakıt Hizmetlisi-İlkokul")*(566.31/30*BM2)
+COUNTIF($A$1,"2S-Rampa Görevlisi-Üniversite")*(450/30*BM2)
+COUNTIF($A$1,"2S-Rampa Görevlisi-MYO")*(450/30*BM2)
+COUNTIF($A$1,"2S-Rampa Görevlisi-Lise")*(450/30*BM2)
+COUNTIF($A$1,"2S-Rampa Görevlisi-Ortaokul")*(450/30*BM2)
+COUNTIF($A$1,"2S-Rampa Görevlisi-İlkokul")*(450/30*BM2)
+COUNTIF($A$1,"2S-Hizmetliler-Üniversite")*(450/30*BM2)
+COUNTIF($A$1,"2S-Hizmetliler-MYO")*(450/30*BM2)
+COUNTIF($A$1,"2S-Hizmetliler-Lise")*(450/30*BM2)
+COUNTIF($A$1,"2S-Hizmetliler-Ortaokul")*(450/30*BM2)
+COUNTIF($A$1,"2S-Hizmetliler-İlkokul")*(450/30*BM2)
+COUNTIF($A$1,"2S-Çaycı-Üniversite")*(450/30*BM2)
+COUNTIF($A$1,"2S-Çaycı-MYO")*(450/30*BM2)
+COUNTIF($A$1,"2S-Çaycı-Lise")*(450/30*BM2)
+COUNTIF($A$1,"2S-Çaycı-Ortaokul")*(450/30*BM2)
+COUNTIF($A$1,"2S-Çaycı-İlkokul")*(450/30*BM2)
+COUNTIF($A$1,"2S-Gişe Sorumlusu-Üniversite")*(450/30*BM2)
+COUNTIF($A$1,"2S-Gişe Sorumlusu-MYO")*(450/30*BM2)
+COUNTIF($A$1,"2S-Gişe Sorumlusu-Lise")*(450/30*BM2)
+COUNTIF($A$1,"2S-Gişe Sorumlusu-Ortaokul")*(450/30*BM2)
+COUNTIF($A$1,"2S-Gişe Sorumlusu-İlkokul")*(450/30*BM2)
+COUNTIF($A$1,"2S-Gişe Görevlisi-Üniversite")*(450/30*BM2)
+COUNTIF($A$1,"2S-Gişe Görevlisi-MYO")*(450/30*BM2)
+COUNTIF($A$1,"2S-Gişe Görevlisi-Lise")*(450/30*BM2)
+COUNTIF($A$1,"2S-Gişe Görevlisi-Ortaokul")*(450/30*BM2)
+COUNTIF($A$1,"2S-Gişe Görevlisi-İlkokul")*(450/30*BM2)
+COUNTIF($A$1,"2S-Terminal Görevlisi-Üniversite")*(450/30*BM2)
+COUNTIF($A$1,"2S-Terminal Görevlisi-MYO")*(450/30*BM2)
+COUNTIF($A$1,"2S-Terminal Görevlisi-Lise")*(450/30*BM2)
+COUNTIF($A$1,"2S-Terminal Görevlisi-Ortaokul")*(450/30*BM2)
+COUNTIF($A$1,"2S-Terminal Görevlisi-İlkokul")*(450/30*BM2)
+COUNTIF($A$1,"2S-İskele Görevlisi-Üniversite")*(450/30*BM2)
+COUNTIF($A$1,"2S-İskele Görevlisi-MYO")*(450/30*BM2)
+COUNTIF($A$1,"2S-İskele Görevlisi-Lise")*(450/30*BM2)
+COUNTIF($A$1,"2S-İskele Görevlisi-Ortaokul")*(450/30*BM2)
+COUNTIF($A$1,"2S-İskele Görevlisi-İlkokul")*(450/30*BM2)
+COUNTIF($A$1,"Atölye-Formen")*(450/30*BM2)
+COUNTIF($A$1,"Atölye-Teknisyen")*(450/30*BM2)
+COUNTIF($A$1,"Atölye-Ustabaşı")*(450/30*BM2)
+COUNTIF($A$1,"Atölye-Usta")*(450/30*BM2)
+COUNTIF($A$1,"Atölye-İşçi")*(450/30*BM2)</f>
        <v>450</v>
      </c>
      <c r="BP2" s="24">
        <f>COUNTIF(G26,"Yok")*(0)
+COUNTIF(G26,"Bakırköy")*(115.36/30*H26)
+COUNTIF(G26,"Bandırma")*(115.36/30*H26)
+COUNTIF(G26,"Bostancı")*(520.17/30*H26)
+COUNTIF(G26,"Bursa")*(520.17/30*H26)
+COUNTIF(G26,"Eskihisar")*(635.52/30*H26)
+COUNTIF(G26,"Harem")*(520.17/30*H26)
+COUNTIF(G26,"Kabataş")*(520.17/30*H26)
+COUNTIF(G26,"Kadıköy")*(520.17/30*H26)
+COUNTIF(G26,"Pendik")*(520.17/30*H26)
+COUNTIF(G26,"Sirkeci")*(520.17/30*H26)
+COUNTIF(G26,"Topçular")*(635.52/30*H26)
+COUNTIF(G26,"Yalova")*(635.52/30*H26)
+COUNTIF(G26,"Yenikapı")*(635.52/30*H26)</f>
        <v>0</v>
      </c>
      <c r="BQ2" s="24">
        <f>COUNTIF(G26,"Yok")*(0)
+COUNTIF(G26,"Bakırköy")*(98.58/30*H26)
+COUNTIF(G26,"Bandırma")*(98.58/30*H26)
+COUNTIF(G26,"Beşiktaş")*(98.58/30*H26)
+COUNTIF(G26,"Bostancı")*(98.58/30*H26)
+COUNTIF(G26,"Bursa")*(98.58/30*H26)
+COUNTIF(G26,"Eskihisar")*(98.58/30*H26)
+COUNTIF(G26,"Harem")*(98.58/30*H26)
+COUNTIF(G26,"Kabataş")*(98.58/30*H26)
+COUNTIF(G26,"Kadıköy")*(98.58/30*H26)
+COUNTIF(G26,"Pendik")*(98.58/30*H26)
+COUNTIF(G26,"Sirkeci")*(98.58/30*H26)
+COUNTIF(G26,"Topçular")*(98.58/30*H26)
+COUNTIF(G26,"Yalova")*(98.58/30*H26)
+COUNTIF(G26,"Yenikapı")*(98.58/30*H26)</f>
        <v>0</v>
      </c>
      <c r="BR2" s="24">
        <f>COUNTIF(G26,"Yok")*(0)
+COUNTIF(G26,"Bakırköy")*(264.27/30*H26)
+COUNTIF(G26,"Bandırma")*(125.85/30*H26)
+COUNTIF(G26,"Beşiktaş")*(264.27/30*H26)
+COUNTIF(G26,"Bostancı")*(264.27/30*H26)
+COUNTIF(G26,"Bursa")*(402.7/30*H26)
+COUNTIF(G26,"Eskihisar")*(402.7/30*H26)
+COUNTIF(G26,"Harem")*(402.7/30*H26)
+COUNTIF(G26,"Kabataş")*(264.27/30*H26)
+COUNTIF(G26,"Kadıköy")*(264.27/30*H26)
+COUNTIF(G26,"Maltepe")*(125.85/30*H26)
+COUNTIF(G26,"Pendik")*(264.27/30*H26)
+COUNTIF(G26,"Sirkeci")*(402.7/30*H26)
+COUNTIF(G26,"Topçular")*(402.7/30*H26)
+COUNTIF(G26,"Yalova")*(402.7/30*H26)
+COUNTIF(G26,"Yenikapı")*(402.7/30*H26)</f>
        <v>0</v>
      </c>
      <c r="BS2" s="24">
        <f>COUNTIF(G26,"Yok")*(0)
+COUNTIF(G26,"Eskihisar")*(83.89/30*H26)
+COUNTIF(G26,"Harem")*(83.89/30*H26)
+COUNTIF(G26,"Sirkeci")*(83.89/30*H26)
+COUNTIF(G26,"Topçular")*(83.89/30*H26)</f>
        <v>0</v>
      </c>
      <c r="BT2" s="21">
        <f ca="1">(BC26/CU20)</f>
        <v>0</v>
      </c>
      <c r="BU2" s="28" t="s">
        <v>54</v>
      </c>
      <c r="BV2" s="29">
        <v>350.88</v>
      </c>
      <c r="CU2" s="21">
        <f>(0)</f>
        <v>0</v>
      </c>
      <c r="CV2" s="30">
        <f>(0%)</f>
        <v>0</v>
      </c>
      <c r="DC2" s="27">
        <v>0</v>
      </c>
      <c r="DD2" s="31">
        <v>0</v>
      </c>
      <c r="DE2" s="32">
        <v>0</v>
      </c>
      <c r="DF2" s="42"/>
    </row>
    <row r="3" spans="1:110" ht="39.950000000000003" customHeight="1" x14ac:dyDescent="0.25">
      <c r="A3" s="68"/>
      <c r="B3" s="69"/>
      <c r="C3" s="61"/>
      <c r="D3" s="61"/>
      <c r="E3" s="70"/>
      <c r="F3" s="61"/>
      <c r="G3" s="61"/>
      <c r="H3" s="61"/>
      <c r="I3" s="61"/>
      <c r="J3" s="61"/>
      <c r="K3" s="61"/>
      <c r="L3" s="61"/>
      <c r="M3" s="61"/>
      <c r="N3" s="61"/>
      <c r="O3" s="61"/>
      <c r="P3" s="61"/>
      <c r="Q3" s="61"/>
      <c r="R3" s="61"/>
      <c r="S3" s="72"/>
      <c r="T3" s="44" t="s">
        <v>56</v>
      </c>
      <c r="U3" s="45">
        <f t="shared" si="0"/>
        <v>0</v>
      </c>
      <c r="V3" s="45">
        <f>COUNTIF(W1,"Ocak")*(BG16)
+COUNTIF(W1,"Şubat")*(BG17)
+COUNTIF(W1,"Mart")*(AX18)
+COUNTIF(W1,"Nisan")*(AX1)
+COUNTIF(W1,"Mayıs")*(AX2)
+COUNTIF(W1,"Haziran")*(AX3)
+COUNTIF(W1,"Temmuz")*(AX19)
+COUNTIF(W1,"Ağustos")*(AX20)
+COUNTIF(W1,"Eylül")*(AX21)
+COUNTIF(W1,"Ekim")*(AX22)
+COUNTIF(W1,"Kasım")*(AX11)
+COUNTIF(W1,"Aralık")*(AX12)
+COUNTIF(W1,"Yıllık Toplam")*(BO11)
+COUNTIF(W1,"Yıllık Ortalama")*(BO12)</f>
        <v>0</v>
      </c>
      <c r="W3" s="71"/>
      <c r="X3" s="65"/>
      <c r="Y3" s="49" t="s">
        <v>26</v>
      </c>
      <c r="Z3" s="51" t="s">
        <v>50</v>
      </c>
      <c r="AA3" s="54"/>
      <c r="AB3" s="55"/>
      <c r="AC3" s="57"/>
      <c r="AD3" s="56"/>
      <c r="AE3" s="20" t="s">
        <v>83</v>
      </c>
      <c r="AF3" s="21">
        <v>215</v>
      </c>
      <c r="AG3" s="21">
        <v>215</v>
      </c>
      <c r="AH3" s="22">
        <f>(AI2+1)</f>
        <v>44713</v>
      </c>
      <c r="AI3" s="22">
        <f>EOMONTH(AH3,0)</f>
        <v>44742</v>
      </c>
      <c r="AJ3" s="23">
        <f>DAY(AI3)</f>
        <v>30</v>
      </c>
      <c r="AK3" s="23">
        <f>NETWORKDAYS.INTL(AH3,AI3,11)</f>
        <v>26</v>
      </c>
      <c r="AL3" s="23">
        <f>(AJ3-AK3)</f>
        <v>4</v>
      </c>
      <c r="AM3" s="24">
        <f ca="1">(AN3/CU23)</f>
        <v>222.33458752844248</v>
      </c>
      <c r="AN3"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3" s="24">
        <f ca="1">(AP3+AY9/AJ3*-1+CR23/AJ3*-1)/(CU23)</f>
        <v>188.82376526226562</v>
      </c>
      <c r="AP3"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3" s="24">
        <f ca="1">(AR3/CU23)</f>
        <v>222.33458752844248</v>
      </c>
      <c r="AR3"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S3" s="25">
        <f ca="1">(AO3*AJ3)</f>
        <v>5664.7129578679687</v>
      </c>
      <c r="AT3" s="21">
        <f>(AR3*AJ3)</f>
        <v>4485</v>
      </c>
      <c r="AU3" s="21">
        <f ca="1">(AV3/CU23)</f>
        <v>0</v>
      </c>
      <c r="AV3" s="21">
        <f>(7.84*C20)</f>
        <v>0</v>
      </c>
      <c r="AW3" s="21">
        <f ca="1">(AX3/CU23)</f>
        <v>0</v>
      </c>
      <c r="AX3" s="21">
        <f>(AR3/7.5*1.5*D20)</f>
        <v>0</v>
      </c>
      <c r="AY3" s="21">
        <f ca="1">(AZ3/CU23)</f>
        <v>0</v>
      </c>
      <c r="AZ3" s="21">
        <f>(AR3/7.5*2*E20)</f>
        <v>0</v>
      </c>
      <c r="BA3" s="21">
        <f ca="1">(BD3)</f>
        <v>1213.51</v>
      </c>
      <c r="BB3" s="21">
        <f>(42*F20)</f>
        <v>840</v>
      </c>
      <c r="BC3" s="21">
        <f>(BB3)</f>
        <v>840</v>
      </c>
      <c r="BD3" s="21">
        <f ca="1">ROUND((BC3+BE3*-1+BH3*-1+BI3*-1+BL3*-1),2)</f>
        <v>1213.51</v>
      </c>
      <c r="BE3" s="21">
        <f ca="1">(BD3*0.00759*-1)</f>
        <v>-9.2105408999999998</v>
      </c>
      <c r="BF3" s="21">
        <f>(10.01*F20)</f>
        <v>200.2</v>
      </c>
      <c r="BG3" s="21">
        <f ca="1">(BD3-BF3)</f>
        <v>1013.31</v>
      </c>
      <c r="BH3" s="21">
        <f ca="1">(BG3*0.14*-1)</f>
        <v>-141.86340000000001</v>
      </c>
      <c r="BI3" s="21">
        <f ca="1">(BG3*0.01*-1)</f>
        <v>-10.133099999999999</v>
      </c>
      <c r="BJ3" s="21">
        <f>(0)</f>
        <v>0</v>
      </c>
      <c r="BK3" s="21">
        <f ca="1">(BD3+BH3+BI3-BJ3)</f>
        <v>1061.5135</v>
      </c>
      <c r="BL3" s="21">
        <f ca="1">(BK3*CP23*-1)</f>
        <v>-212.30270000000002</v>
      </c>
      <c r="BM3" s="21">
        <f>(5004)</f>
        <v>5004</v>
      </c>
      <c r="BN3" s="21">
        <f>(5004)</f>
        <v>5004</v>
      </c>
      <c r="BO3" s="21">
        <f>(BM3-BN3)</f>
        <v>0</v>
      </c>
      <c r="BP3" s="21">
        <f>(BO3*0.00759*-1)</f>
        <v>0</v>
      </c>
      <c r="BQ3" s="21">
        <f>(0)</f>
        <v>0</v>
      </c>
      <c r="BR3" s="21">
        <f>(BM3-BQ3)</f>
        <v>5004</v>
      </c>
      <c r="BS3" s="21">
        <f>(BR3*0.14*-1)</f>
        <v>-700.56000000000006</v>
      </c>
      <c r="BT3" s="21">
        <f>(BR3*0.01*-1)</f>
        <v>-50.04</v>
      </c>
      <c r="BU3" s="28" t="s">
        <v>64</v>
      </c>
      <c r="BV3" s="29">
        <v>932.57</v>
      </c>
      <c r="BW3" s="29">
        <f t="shared" ref="BW3:BW14" si="1">COUNTIF(M15,"Yok")*(0)
+COUNTIF(M15,"Askerlik Yardımı")*($BV$2)
+COUNTIF(M15,"Cenaze Yardımı (Anne-Baba)")*($BV$3+$BV$3*0.00759)
+COUNTIF(M15,"Cenaze Yardımı (Eş-Çocuk)")*($BV$4+$BV$4*0.00759)
+COUNTIF(M15,"Cenaze Yardımı (İşçi-İş Kazası Sonucu)")*($BV$5+$BV$5*0.00759)
+COUNTIF(M15,"Cenaze Yardımı (İşçi-Tabii Sebepler Sonucu)")*($BV$6+$BV$6*0.00759)
+COUNTIF(M15,"Doğal Afet Yardımı")*($BV$7+$BV$7*0.00759)
+COUNTIF(M15,"Eğitim Yardımı (Çocuk-İlköğretim)")*($BV$8)
+COUNTIF(M15,"Eğitim Yardımı (Çocuk-Ortaöğretim)")*($BV$9)
+COUNTIF(M15,"Eğitim Yardımı (Çocuk-Lise)")*($BV$10)
+COUNTIF(M15,"Eğitim Yardımı (Çocuk-Yükseköğretim)")*($BV$11)
+COUNTIF(M15,"Eğitim Yardımı (İşçi-Lise)")*($BV$12)
+COUNTIF(M15,"Eğitim Yardımı (İşçi-Yükseköğretim)")*($BV$13)
+COUNTIF(M15,"Evlilik Yardımı")*($BV$14+$BV$14*0.00759)
+COUNTIF(M15,"Gıda Yardımı")*($BV$15)
+COUNTIF(M15,"İş Kazası veya Meslek Hastalığı Tazminatı")*($BV$16+$BV$16*0.00759)
+COUNTIF(M15,"Temizlik Yardımı")*($BV$17)
+COUNTIF(N15,"Yok")*(0)
+COUNTIF(N15,"Askerlik Yardımı")*($BV$2)
+COUNTIF(N15,"Cenaze Yardımı (Anne-Baba)")*($BV$3+$BV$3*0.00759)
+COUNTIF(N15,"Cenaze Yardımı (Eş-Çocuk)")*($BV$4+$BV$4*0.00759)
+COUNTIF(N15,"Cenaze Yardımı (İşçi-İş Kazası Sonucu)")*($BV$5+$BV$5*0.00759)
+COUNTIF(N15,"Cenaze Yardımı (İşçi-Tabii Sebepler Sonucu)")*($BV$6+$BV$6*0.00759)
+COUNTIF(N15,"Doğal Afet Yardımı")*($BV$7+$BV$7*0.00759)
+COUNTIF(N15,"Eğitim Yardımı (Çocuk-İlköğretim)")*($BV$8)
+COUNTIF(N15,"Eğitim Yardımı (Çocuk-Ortaöğretim)")*($BV$9)
+COUNTIF(N15,"Eğitim Yardımı (Çocuk-Lise)")*($BV$10)
+COUNTIF(N15,"Eğitim Yardımı (Çocuk-Yükseköğretim)")*($BV$11)
+COUNTIF(N15,"Eğitim Yardımı (İşçi-Lise)")*($BV$12)
+COUNTIF(N15,"Eğitim Yardımı (İşçi-Yükseköğretim)")*($BV$13)
+COUNTIF(N15,"Evlilik Yardımı")*($BV$14+$BV$14*0.00759)
+COUNTIF(N15,"Gıda Yardımı")*($BV$15)
+COUNTIF(N15,"İş Kazası veya Meslek Hastalığı Tazminatı")*($BV$16+$BV$16*0.00759)
+COUNTIF(N15,"Temizlik Yardımı")*($BV$17)
+COUNTIF(O15,"Yok")*(0)
+COUNTIF(O15,"Askerlik Yardımı")*($BV$2)
+COUNTIF(O15,"Cenaze Yardımı (Anne-Baba)")*($BV$3+$BV$3*0.00759)
+COUNTIF(O15,"Cenaze Yardımı (Eş-Çocuk)")*($BV$4+$BV$4*0.00759)
+COUNTIF(O15,"Cenaze Yardımı (İşçi-İş Kazası Sonucu)")*($BV$5+$BV$5*0.00759)
+COUNTIF(O15,"Cenaze Yardımı (İşçi-Tabii Sebepler Sonucu)")*($BV$6+$BV$6*0.00759)
+COUNTIF(O15,"Doğal Afet Yardımı")*($BV$7+$BV$7*0.00759)
+COUNTIF(O15,"Eğitim Yardımı (Çocuk-İlköğretim)")*($BV$8)
+COUNTIF(O15,"Eğitim Yardımı (Çocuk-Ortaöğretim)")*($BV$9)
+COUNTIF(O15,"Eğitim Yardımı (Çocuk-Lise)")*($BV$10)
+COUNTIF(O15,"Eğitim Yardımı (Çocuk-Yükseköğretim)")*($BV$11)
+COUNTIF(O15,"Eğitim Yardımı (İşçi-Lise)")*($BV$12)
+COUNTIF(O15,"Eğitim Yardımı (İşçi-Yükseköğretim)")*($BV$13)
+COUNTIF(O15,"Evlilik Yardımı")*($BV$14+$BV$14*0.00759)
+COUNTIF(O15,"Gıda Yardımı")*($BV$15)
+COUNTIF(O15,"İş Kazası veya Meslek Hastalığı Tazminatı")*($BV$16+$BV$16*0.00759)
+COUNTIF(O15,"Temizlik Yardımı")*($BV$17)</f>
        <v>0</v>
      </c>
      <c r="BX3" s="29">
        <f t="shared" ref="BX3:BX14" si="2">COUNTIF(M15,"Yok")*(0)
+COUNTIF(M15,"Askerlik Yardımı")*(0)
+COUNTIF(M15,"Cenaze Yardımı (Anne-Baba)")*($BV$3+$BV$3*0.00759)
+COUNTIF(M15,"Cenaze Yardımı (Eş-Çocuk)")*($BV$4+$BV$4*0.00759)
+COUNTIF(M15,"Cenaze Yardımı (İşçi-İş Kazası Sonucu)")*($BV$5+$BV$5*0.00759)
+COUNTIF(M15,"Cenaze Yardımı (İşçi-Tabii Sebepler Sonucu)")*($BV$6+$BV$6*0.00759)
+COUNTIF(M15,"Doğal Afet Yardımı")*($BV$7+$BV$7*0.00759)
+COUNTIF(M15,"Eğitim Yardımı (Çocuk-İlköğretim)")*(0)
+COUNTIF(M15,"Eğitim Yardımı (Çocuk-Ortaöğretim)")*(0)
+COUNTIF(M15,"Eğitim Yardımı (Çocuk-Lise)")*(0)
+COUNTIF(M15,"Eğitim Yardımı (Çocuk-Yükseköğretim)")*(0)
+COUNTIF(M15,"Eğitim Yardımı (İşçi-Lise)")*(0)
+COUNTIF(M15,"Eğitim Yardımı (İşçi-Yükseköğretim)")*(0)
+COUNTIF(M15,"Evlilik Yardımı")*($BV$14+$BV$14*0.00759)
+COUNTIF(M15,"Gıda Yardımı")*(0)
+COUNTIF(M15,"İş Kazası veya Meslek Hastalığı Tazminatı")*($BV$16+$BV$16*0.00759)
+COUNTIF(M15,"Temizlik Yardımı")*(0)
+COUNTIF(N15,"Yok")*(0)
+COUNTIF(N15,"Askerlik Yardımı")*(0)
+COUNTIF(N15,"Cenaze Yardımı (Anne-Baba)")*($BV$3+$BV$3*0.00759)
+COUNTIF(N15,"Cenaze Yardımı (Eş-Çocuk)")*($BV$4+$BV$4*0.00759)
+COUNTIF(N15,"Cenaze Yardımı (İşçi-İş Kazası Sonucu)")*($BV$5+$BV$5*0.00759)
+COUNTIF(N15,"Cenaze Yardımı (İşçi-Tabii Sebepler Sonucu)")*($BV$6+$BV$6*0.00759)
+COUNTIF(N15,"Doğal Afet Yardımı")*($BV$7+$BV$7*0.00759)
+COUNTIF(N15,"Eğitim Yardımı (Çocuk-İlköğretim)")*(0)
+COUNTIF(N15,"Eğitim Yardımı (Çocuk-Ortaöğretim)")*(0)
+COUNTIF(N15,"Eğitim Yardımı (Çocuk-Lise)")*(0)
+COUNTIF(N15,"Eğitim Yardımı (Çocuk-Yükseköğretim)")*(0)
+COUNTIF(N15,"Eğitim Yardımı (İşçi-Lise)")*(0)
+COUNTIF(N15,"Eğitim Yardımı (İşçi-Yükseköğretim)")*(0)
+COUNTIF(N15,"Evlilik Yardımı")*($BV$14+$BV$14*0.00759)
+COUNTIF(N15,"Gıda Yardımı")*(0)
+COUNTIF(N15,"İş Kazası veya Meslek Hastalığı Tazminatı")*($BV$16+$BV$16*0.00759)
+COUNTIF(N15,"Temizlik Yardımı")*(0)
+COUNTIF(O15,"Yok")*(0)
+COUNTIF(O15,"Askerlik Yardımı")*(0)
+COUNTIF(O15,"Cenaze Yardımı (Anne-Baba)")*($BV$3+$BV$3*0.00759)
+COUNTIF(O15,"Cenaze Yardımı (Eş-Çocuk)")*($BV$4+$BV$4*0.00759)
+COUNTIF(O15,"Cenaze Yardımı (İşçi-İş Kazası Sonucu)")*($BV$5+$BV$5*0.00759)
+COUNTIF(O15,"Cenaze Yardımı (İşçi-Tabii Sebepler Sonucu)")*($BV$6+$BV$6*0.00759)
+COUNTIF(O15,"Doğal Afet Yardımı")*($BV$7+$BV$7*0.00759)
+COUNTIF(O15,"Eğitim Yardımı (Çocuk-İlköğretim)")*(0)
+COUNTIF(O15,"Eğitim Yardımı (Çocuk-Ortaöğretim)")*(0)
+COUNTIF(O15,"Eğitim Yardımı (Çocuk-Lise)")*(0)
+COUNTIF(O15,"Eğitim Yardımı (Çocuk-Yükseköğretim)")*(0)
+COUNTIF(O15,"Eğitim Yardımı (İşçi-Lise)")*(0)
+COUNTIF(O15,"Eğitim Yardımı (İşçi-Yükseköğretim)")*(0)
+COUNTIF(O15,"Evlilik Yardımı")*($BV$14+$BV$14*0.00759)
+COUNTIF(O15,"Gıda Yardımı")*(0)
+COUNTIF(O15,"İş Kazası veya Meslek Hastalığı Tazminatı")*($BV$16+$BV$16*0.00759)
+COUNTIF(O15,"Temizlik Yardımı")*(0)</f>
        <v>0</v>
      </c>
      <c r="BY3" s="29">
        <f t="shared" ref="BY3:BY11" ca="1" si="3">COUNTIF(M15,"Yok")*(0)
+COUNTIF(M15,"Askerlik Yardımı")*($BV$2*CU18)
+COUNTIF(M15,"Cenaze Yardımı (Anne-Baba)")*($BV$3)
+COUNTIF(M15,"Cenaze Yardımı (Eş-Çocuk)")*($BV$4)
+COUNTIF(M15,"Cenaze Yardımı (İşçi-İş Kazası Sonucu)")*($BV$5)
+COUNTIF(M15,"Cenaze Yardımı (İşçi-Tabii Sebepler Sonucu)")*($BV$6)
+COUNTIF(M15,"Doğal Afet Yardımı")*($BV$7)
+COUNTIF(M15,"Eğitim Yardımı (Çocuk-İlköğretim)")*($BV$8*CU18)
+COUNTIF(M15,"Eğitim Yardımı (Çocuk-Ortaöğretim)")*($BV$9*CU18)
+COUNTIF(M15,"Eğitim Yardımı (Çocuk-Lise)")*($BV$10*CU18)
+COUNTIF(M15,"Eğitim Yardımı (Çocuk-Yükseköğretim)")*($BV$11*CU18)
+COUNTIF(M15,"Eğitim Yardımı (İşçi-Lise)")*($BV$12*CU18)
+COUNTIF(M15,"Eğitim Yardımı (İşçi-Yükseköğretim)")*($BV$13*CU18)
+COUNTIF(M15,"Evlilik Yardımı")*($BV$14)
+COUNTIF(M15,"Gıda Yardımı")*($BV$15*CU18)
+COUNTIF(M15,"İş Kazası veya Meslek Hastalığı Tazminatı")*($BV$16)
+COUNTIF(M15,"Temizlik Yardımı")*($BV$17*CU18)
+COUNTIF(N15,"Yok")*(0)
+COUNTIF(N15,"Askerlik Yardımı")*($BV$2*CU18)
+COUNTIF(N15,"Cenaze Yardımı (Anne-Baba)")*($BV$3)
+COUNTIF(N15,"Cenaze Yardımı (Eş-Çocuk)")*($BV$4)
+COUNTIF(N15,"Cenaze Yardımı (İşçi-İş Kazası Sonucu)")*($BV$5)
+COUNTIF(N15,"Cenaze Yardımı (İşçi-Tabii Sebepler Sonucu)")*($BV$6)
+COUNTIF(N15,"Doğal Afet Yardımı")*($BV$7)
+COUNTIF(N15,"Eğitim Yardımı (Çocuk-İlköğretim)")*($BV$8*CU18)
+COUNTIF(N15,"Eğitim Yardımı (Çocuk-Ortaöğretim)")*($BV$9*CU18)
+COUNTIF(N15,"Eğitim Yardımı (Çocuk-Lise)")*($BV$10*CU18)
+COUNTIF(N15,"Eğitim Yardımı (Çocuk-Yükseköğretim)")*($BV$11*CU18)
+COUNTIF(N15,"Eğitim Yardımı (İşçi-Lise)")*($BV$12*CU18)
+COUNTIF(N15,"Eğitim Yardımı (İşçi-Yükseköğretim)")*($BV$13*CU18)
+COUNTIF(N15,"Evlilik Yardımı")*($BV$14)
+COUNTIF(N15,"Gıda Yardımı")*($BV$15*CU18)
+COUNTIF(N15,"İş Kazası veya Meslek Hastalığı Tazminatı")*($BV$16)
+COUNTIF(N15,"Temizlik Yardımı")*($BV$17*CU18)
+COUNTIF(O15,"Yok")*(0)
+COUNTIF(O15,"Askerlik Yardımı")*($BV$2*CU18)
+COUNTIF(O15,"Cenaze Yardımı (Anne-Baba)")*($BV$3)
+COUNTIF(O15,"Cenaze Yardımı (Eş-Çocuk)")*($BV$4)
+COUNTIF(O15,"Cenaze Yardımı (İşçi-İş Kazası Sonucu)")*($BV$5)
+COUNTIF(O15,"Cenaze Yardımı (İşçi-Tabii Sebepler Sonucu)")*($BV$6)
+COUNTIF(O15,"Doğal Afet Yardımı")*($BV$7)
+COUNTIF(O15,"Eğitim Yardımı (Çocuk-İlköğretim)")*($BV$8*CU18)
+COUNTIF(O15,"Eğitim Yardımı (Çocuk-Ortaöğretim)")*($BV$9*CU18)
+COUNTIF(O15,"Eğitim Yardımı (Çocuk-Lise)")*($BV$10*CU18)
+COUNTIF(O15,"Eğitim Yardımı (Çocuk-Yükseköğretim)")*($BV$11*CU18)
+COUNTIF(O15,"Eğitim Yardımı (İşçi-Lise)")*($BV$12*CU18)
+COUNTIF(O15,"Eğitim Yardımı (İşçi-Yükseköğretim)")*($BV$13*CU18)
+COUNTIF(O15,"Evlilik Yardımı")*($BV$14)
+COUNTIF(O15,"Gıda Yardımı")*($BV$15*CU18)
+COUNTIF(O15,"İş Kazası veya Meslek Hastalığı Tazminatı")*($BV$16)
+COUNTIF(O15,"Temizlik Yardımı")*($BV$17*CU18)</f>
        <v>0</v>
      </c>
      <c r="BZ3" s="33" t="s">
        <v>11</v>
      </c>
      <c r="CA3" s="21">
        <f ca="1">COUNTIF(BZ3,"Var")*(AO13*0.9*-1)</f>
        <v>-160.75376399736308</v>
      </c>
      <c r="CB3" s="21">
        <f ca="1">(CA3*-1)</f>
        <v>160.75376399736308</v>
      </c>
      <c r="CC3" s="29">
        <f ca="1">(CH18*P15+CD3)*(-1)</f>
        <v>0</v>
      </c>
      <c r="CD3" s="29">
        <f ca="1">(BF16+BH16+BJ16-AU13)*(P15*-1)</f>
        <v>0</v>
      </c>
      <c r="CE3" s="29">
        <f ca="1">(CC3+CD3)</f>
        <v>0</v>
      </c>
      <c r="CF3" s="21" t="s">
        <v>0</v>
      </c>
      <c r="CG3" s="21">
        <f>(5004)</f>
        <v>5004</v>
      </c>
      <c r="CH3" s="21">
        <f>(5004)</f>
        <v>5004</v>
      </c>
      <c r="CI3" s="21">
        <f>(CG3-CH3)</f>
        <v>0</v>
      </c>
      <c r="CJ3" s="21">
        <f>(CI3*0.00759*-1)</f>
        <v>0</v>
      </c>
      <c r="CK3" s="21">
        <f>(0)</f>
        <v>0</v>
      </c>
      <c r="CL3" s="21">
        <f>(CG3-CK3)</f>
        <v>5004</v>
      </c>
      <c r="CM3" s="21">
        <f>(CL3*0.14*-1)</f>
        <v>-700.56000000000006</v>
      </c>
      <c r="CN3" s="21">
        <f>(CL3*0.01*-1)</f>
        <v>-50.04</v>
      </c>
      <c r="CO3" s="34">
        <v>0.15</v>
      </c>
      <c r="CP3" s="24">
        <v>0</v>
      </c>
      <c r="CQ3" s="21">
        <v>32000</v>
      </c>
      <c r="CR3" s="21">
        <v>0</v>
      </c>
      <c r="CS3" s="21">
        <f>(0)</f>
        <v>0</v>
      </c>
      <c r="CT3" s="21">
        <f t="shared" ref="CT3:CT14" si="4">(CG3+CM3+CN3-CS3)</f>
        <v>4253.3999999999996</v>
      </c>
      <c r="CU3" s="21">
        <f>SUM(CT$3:$CT3)</f>
        <v>4253.3999999999996</v>
      </c>
      <c r="CV3" s="30">
        <f t="shared" ref="CV3:CV14" si="5">IF(CU3&lt;=$CQ$3,$CO$3,
IF(CU3&gt;$CQ$5,
IF(CU3&gt;$CQ$6,$CO$7,$CO$6),
IF(CU3&lt;$CQ$4,$CO$4,$CO$5)))</f>
        <v>0.15</v>
      </c>
      <c r="CW3" s="33">
        <f>IF(CV3-CV2=0,0,1)</f>
        <v>1</v>
      </c>
      <c r="CX3" s="35">
        <f>IF(CW3=0,CV3,(VLOOKUP($CV3,$CO$3:$CR$7,2,0)-CU2)/CT3*CV2+(CU3-VLOOKUP($CV3,$CO$3:$CR$7,2,0))/CT3*CV3)</f>
        <v>0.15</v>
      </c>
      <c r="CY3" s="21">
        <f>(ROUND(CT3*CX3,2)+VLOOKUP(CV3,$CO$3:$CR$7,4,0))</f>
        <v>638.01</v>
      </c>
      <c r="CZ3" s="35">
        <f>(100+(100*0.00759*-1)+(100*0.01*-1)+(100*0.01*-1)+(100+100*0.14*-1+100*0.01*-1)*CX3*-1)/100</f>
        <v>0.84491000000000005</v>
      </c>
      <c r="DA3" s="21">
        <f t="shared" ref="DA3:DA14" si="6">CG3</f>
        <v>5004</v>
      </c>
      <c r="DB3" s="21">
        <f t="shared" ref="DB3:DB14" si="7">CG3+CJ3+CM3+CN3</f>
        <v>4253.3999999999996</v>
      </c>
      <c r="DC3" s="27">
        <v>1</v>
      </c>
      <c r="DD3" s="31">
        <v>0.5</v>
      </c>
      <c r="DE3" s="32">
        <v>0.03</v>
      </c>
      <c r="DF3" s="42"/>
    </row>
    <row r="4" spans="1:110" ht="39.950000000000003" customHeight="1" x14ac:dyDescent="0.25">
      <c r="A4" s="68"/>
      <c r="B4" s="69"/>
      <c r="C4" s="61"/>
      <c r="D4" s="61"/>
      <c r="E4" s="70"/>
      <c r="F4" s="61"/>
      <c r="G4" s="61"/>
      <c r="H4" s="61"/>
      <c r="I4" s="61"/>
      <c r="J4" s="61"/>
      <c r="K4" s="61"/>
      <c r="L4" s="61"/>
      <c r="M4" s="61"/>
      <c r="N4" s="61"/>
      <c r="O4" s="61"/>
      <c r="P4" s="61"/>
      <c r="Q4" s="61"/>
      <c r="R4" s="61"/>
      <c r="S4" s="72"/>
      <c r="T4" s="44" t="s">
        <v>5</v>
      </c>
      <c r="U4" s="45">
        <f t="shared" si="0"/>
        <v>0</v>
      </c>
      <c r="V4" s="45">
        <f>COUNTIF(W1,"Ocak")*(BI16)
+COUNTIF(W1,"Şubat")*(BI17)
+COUNTIF(W1,"Mart")*(AZ18)
+COUNTIF(W1,"Nisan")*(AZ1)
+COUNTIF(W1,"Mayıs")*(AZ2)
+COUNTIF(W1,"Haziran")*(AZ3)
+COUNTIF(W1,"Temmuz")*(AZ19)
+COUNTIF(W1,"Ağustos")*(AZ20)
+COUNTIF(W1,"Eylül")*(AZ21)
+COUNTIF(W1,"Ekim")*(AZ22)
+COUNTIF(W1,"Kasım")*(AZ11)
+COUNTIF(W1,"Aralık")*(AZ12)
+COUNTIF(W1,"Yıllık Toplam")*(BQ11)
+COUNTIF(W1,"Yıllık Ortalama")*(BQ12)</f>
        <v>0</v>
      </c>
      <c r="W4" s="71"/>
      <c r="X4" s="65"/>
      <c r="Y4" s="49" t="s">
        <v>46</v>
      </c>
      <c r="Z4" s="45" t="s">
        <v>55</v>
      </c>
      <c r="AA4" s="54"/>
      <c r="AB4" s="55"/>
      <c r="AC4" s="57"/>
      <c r="AD4" s="56"/>
      <c r="AE4" s="20" t="s">
        <v>84</v>
      </c>
      <c r="AF4" s="21">
        <v>211.53</v>
      </c>
      <c r="AG4" s="21">
        <v>211.53</v>
      </c>
      <c r="AH4" s="21">
        <f ca="1">(AI4/CU22)</f>
        <v>884.56567319413818</v>
      </c>
      <c r="AI4" s="21">
        <f>(602/30*BT8)</f>
        <v>602</v>
      </c>
      <c r="AJ4" s="21">
        <f>(0)</f>
        <v>0</v>
      </c>
      <c r="AK4" s="21">
        <f>(0)</f>
        <v>0</v>
      </c>
      <c r="AL4" s="21">
        <f>(0)</f>
        <v>0</v>
      </c>
      <c r="AM4" s="26">
        <v>0</v>
      </c>
      <c r="AN4" s="21">
        <f ca="1">(AO4/CU22)</f>
        <v>0</v>
      </c>
      <c r="AO4" s="21">
        <f>(AR2*AM4)</f>
        <v>0</v>
      </c>
      <c r="AP4" s="26">
        <v>30</v>
      </c>
      <c r="AQ4" s="21">
        <f ca="1">(AR4/CU22)</f>
        <v>512.38687026499656</v>
      </c>
      <c r="AR4" s="21">
        <f>COUNTIF($A$1,"1S-Makine ve Elektrik Teknisyenleri-Üniversite")*(566.31/30*AP4)
+COUNTIF($A$1,"1S-Makine ve Elektrik Teknisyenleri-MYO")*(566.31/30*AP4)
+COUNTIF($A$1,"1S-Makine ve Elektrik Teknisyenleri-Lise")*(566.31/30*AP4)
+COUNTIF($A$1,"1S-Makine ve Elektrik Teknisyenleri-Ortaokul")*(566.31/30*AP4)
+COUNTIF($A$1,"1S-Makine ve Elektrik Teknisyenleri-İlkokul")*(566.31/30*AP4)
+COUNTIF($A$1,"1S-Yakıt Elemanı-Üniversite")*(566.31/30*AP4)
+COUNTIF($A$1,"1S-Yakıt Elemanı-MYO")*(566.31/30*AP4)
+COUNTIF($A$1,"1S-Yakıt Elemanı-Lise")*(566.31/30*AP4)
+COUNTIF($A$1,"1S-Yakıt Elemanı-Ortaokul")*(566.31/30*AP4)
+COUNTIF($A$1,"1S-Yakıt Elemanı-İlkokul")*(566.31/30*AP4)
+COUNTIF($A$1,"1S-Tanker Şoförü-Üniversite")*(566.31/30*AP4)
+COUNTIF($A$1,"1S-Tanker Şoförü-MYO")*(566.31/30*AP4)
+COUNTIF($A$1,"1S-Tanker Şoförü-Lise")*(566.31/30*AP4)
+COUNTIF($A$1,"1S-Tanker Şoförü-Ortaokul")*(566.31/30*AP4)
+COUNTIF($A$1,"1S-Tanker Şoförü-İlkokul")*(566.31/30*AP4)
+COUNTIF($A$1,"1S-Vinç Operatörü-Üniversite")*(566.31/30*AP4)
+COUNTIF($A$1,"1S-Vinç Operatörü-MYO")*(566.31/30*AP4)
+COUNTIF($A$1,"1S-Vinç Operatörü-Lise")*(566.31/30*AP4)
+COUNTIF($A$1,"1S-Vinç Operatörü-Ortaokul")*(566.31/30*AP4)
+COUNTIF($A$1,"1S-Vinç Operatörü-İlkokul")*(566.31/30*AP4)
+COUNTIF($A$1,"1S-Rampa Görevlisi-Üniversite")*(566.31/30*AP4)
+COUNTIF($A$1,"1S-Rampa Görevlisi-MYO")*(566.31/30*AP4)
+COUNTIF($A$1,"1S-Rampa Görevlisi-Lise")*(566.31/30*AP4)
+COUNTIF($A$1,"1S-Rampa Görevlisi-Ortaokul")*(566.31/30*AP4)
+COUNTIF($A$1,"1S-Rampa Görevlisi-İlkokul")*(566.31/30*AP4)
+COUNTIF($A$1,"1S-Yakıt Hizmetlisi-Üniversite")*(566.31/30*AP4)
+COUNTIF($A$1,"1S-Yakıt Hizmetlisi-MYO")*(566.31/30*AP4)
+COUNTIF($A$1,"1S-Yakıt Hizmetlisi-Lise")*(566.31/30*AP4)
+COUNTIF($A$1,"1S-Yakıt Hizmetlisi-Ortaokul")*(566.31/30*AP4)
+COUNTIF($A$1,"1S-Yakıt Hizmetlisi-İlkokul")*(566.31/30*AP4)
+COUNTIF($A$1,"2S-Rampa Görevlisi-Üniversite")*(348.71/30*AP4)
+COUNTIF($A$1,"2S-Rampa Görevlisi-MYO")*(348.71/30*AP4)
+COUNTIF($A$1,"2S-Rampa Görevlisi-Lise")*(348.71/30*AP4)
+COUNTIF($A$1,"2S-Rampa Görevlisi-Ortaokul")*(348.71/30*AP4)
+COUNTIF($A$1,"2S-Rampa Görevlisi-İlkokul")*(348.71/30*AP4)
+COUNTIF($A$1,"2S-Hizmetliler-Üniversite")*(348.71/30*AP4)
+COUNTIF($A$1,"2S-Hizmetliler-MYO")*(348.71/30*AP4)
+COUNTIF($A$1,"2S-Hizmetliler-Lise")*(348.71/30*AP4)
+COUNTIF($A$1,"2S-Hizmetliler-Ortaokul")*(348.71/30*AP4)
+COUNTIF($A$1,"2S-Hizmetliler-İlkokul")*(348.71/30*AP4)
+COUNTIF($A$1,"2S-Çaycı-Üniversite")*(348.71/30*AP4)
+COUNTIF($A$1,"2S-Çaycı-MYO")*(348.71/30*AP4)
+COUNTIF($A$1,"2S-Çaycı-Lise")*(348.71/30*AP4)
+COUNTIF($A$1,"2S-Çaycı-Ortaokul")*(348.71/30*AP4)
+COUNTIF($A$1,"2S-Çaycı-İlkokul")*(348.71/30*AP4)
+COUNTIF($A$1,"2S-Gişe Sorumlusu-Üniversite")*(348.71/30*AP4)
+COUNTIF($A$1,"2S-Gişe Sorumlusu-MYO")*(348.71/30*AP4)
+COUNTIF($A$1,"2S-Gişe Sorumlusu-Lise")*(348.71/30*AP4)
+COUNTIF($A$1,"2S-Gişe Sorumlusu-Ortaokul")*(348.71/30*AP4)
+COUNTIF($A$1,"2S-Gişe Sorumlusu-İlkokul")*(348.71/30*AP4)
+COUNTIF($A$1,"2S-Gişe Görevlisi-Üniversite")*(348.71/30*AP4)
+COUNTIF($A$1,"2S-Gişe Görevlisi-MYO")*(348.71/30*AP4)
+COUNTIF($A$1,"2S-Gişe Görevlisi-Lise")*(348.71/30*AP4)
+COUNTIF($A$1,"2S-Gişe Görevlisi-Ortaokul")*(348.71/30*AP4)
+COUNTIF($A$1,"2S-Gişe Görevlisi-İlkokul")*(348.71/30*AP4)
+COUNTIF($A$1,"2S-Terminal Görevlisi-Üniversite")*(348.71/30*AP4)
+COUNTIF($A$1,"2S-Terminal Görevlisi-MYO")*(348.71/30*AP4)
+COUNTIF($A$1,"2S-Terminal Görevlisi-Lise")*(348.71/30*AP4)
+COUNTIF($A$1,"2S-Terminal Görevlisi-Ortaokul")*(348.71/30*AP4)
+COUNTIF($A$1,"2S-Terminal Görevlisi-İlkokul")*(348.71/30*AP4)
+COUNTIF($A$1,"2S-İskele Görevlisi-Üniversite")*(348.71/30*AP4)
+COUNTIF($A$1,"2S-İskele Görevlisi-MYO")*(348.71/30*AP4)
+COUNTIF($A$1,"2S-İskele Görevlisi-Lise")*(348.71/30*AP4)
+COUNTIF($A$1,"2S-İskele Görevlisi-Ortaokul")*(348.71/30*AP4)
+COUNTIF($A$1,"2S-İskele Görevlisi-İlkokul")*(348.71/30*AP4)
+COUNTIF($A$1,"Atölye-Formen")*(348.71/30*AP4)
+COUNTIF($A$1,"Atölye-Teknisyen")*(348.71/30*AP4)
+COUNTIF($A$1,"Atölye-Ustabaşı")*(348.71/30*AP4)
+COUNTIF($A$1,"Atölye-Usta")*(348.71/30*AP4)
+COUNTIF($A$1,"Atölye-İşçi")*(348.71/30*AP4)</f>
        <v>348.71</v>
      </c>
      <c r="AS4" s="24">
        <f>COUNTIF(G19,"Yok")*(0)
+COUNTIF(G19,"Bakırköy")*(115.36/30*H19)
+COUNTIF(G19,"Bandırma")*(115.36/30*H19)
+COUNTIF(G19,"Bostancı")*(520.17/30*H19)
+COUNTIF(G19,"Bursa")*(520.17/30*H19)
+COUNTIF(G19,"Eskihisar")*(635.52/30*H19)
+COUNTIF(G19,"Harem")*(520.17/30*H19)
+COUNTIF(G19,"Kabataş")*(520.17/30*H19)
+COUNTIF(G19,"Kadıköy")*(520.17/30*H19)
+COUNTIF(G19,"Pendik")*(520.17/30*H19)
+COUNTIF(G19,"Sirkeci")*(520.17/30*H19)
+COUNTIF(G19,"Topçular")*(635.52/30*H19)
+COUNTIF(G19,"Yalova")*(635.52/30*H19)
+COUNTIF(G19,"Yenikapı")*(635.52/30*H19)</f>
        <v>0</v>
      </c>
      <c r="AT4" s="24">
        <f>COUNTIF(G19,"Yok")*(0)
+COUNTIF(G19,"Bakırköy")*(98.58/30*H19)
+COUNTIF(G19,"Bandırma")*(98.58/30*H19)
+COUNTIF(G19,"Beşiktaş")*(98.58/30*H19)
+COUNTIF(G19,"Bostancı")*(98.58/30*H19)
+COUNTIF(G19,"Bursa")*(98.58/30*H19)
+COUNTIF(G19,"Eskihisar")*(98.58/30*H19)
+COUNTIF(G19,"Harem")*(98.58/30*H19)
+COUNTIF(G19,"Kabataş")*(98.58/30*H19)
+COUNTIF(G19,"Kadıköy")*(98.58/30*H19)
+COUNTIF(G19,"Pendik")*(98.58/30*H19)
+COUNTIF(G19,"Sirkeci")*(98.58/30*H19)
+COUNTIF(G19,"Topçular")*(98.58/30*H19)
+COUNTIF(G19,"Yalova")*(98.58/30*H19)
+COUNTIF(G19,"Yenikapı")*(98.58/30*H19)</f>
        <v>0</v>
      </c>
      <c r="AU4" s="24">
        <f>COUNTIF(G19,"Yok")*(0)
+COUNTIF(G19,"Bakırköy")*(264.27/30*H19)
+COUNTIF(G19,"Bandırma")*(125.85/30*H19)
+COUNTIF(G19,"Beşiktaş")*(264.27/30*H19)
+COUNTIF(G19,"Bostancı")*(264.27/30*H19)
+COUNTIF(G19,"Bursa")*(402.7/30*H19)
+COUNTIF(G19,"Eskihisar")*(402.7/30*H19)
+COUNTIF(G19,"Harem")*(402.7/30*H19)
+COUNTIF(G19,"Kabataş")*(264.27/30*H19)
+COUNTIF(G19,"Kadıköy")*(264.27/30*H19)
+COUNTIF(G19,"Maltepe")*(125.85/30*H19)
+COUNTIF(G19,"Pendik")*(264.27/30*H19)
+COUNTIF(G19,"Sirkeci")*(402.7/30*H19)
+COUNTIF(G19,"Topçular")*(402.7/30*H19)
+COUNTIF(G19,"Yalova")*(402.7/30*H19)
+COUNTIF(G19,"Yenikapı")*(402.7/30*H19)</f>
        <v>0</v>
      </c>
      <c r="AV4" s="24">
        <f>COUNTIF(G19,"Yok")*(0)
+COUNTIF(G19,"Eskihisar")*(83.89/30*H19)
+COUNTIF(G19,"Harem")*(83.89/30*H19)
+COUNTIF(G19,"Sirkeci")*(83.89/30*H19)
+COUNTIF(G19,"Topçular")*(83.89/30*H19)</f>
        <v>0</v>
      </c>
      <c r="AW4" s="21">
        <f ca="1">(AX4/CU22)</f>
        <v>0</v>
      </c>
      <c r="AX4" s="21">
        <f>COUNTIF($A$1,"2S-Gişe Sorumlusu-Üniversite")*(AS4)
+COUNTIF($A$1,"2S-Gişe Sorumlusu-MYO")*(AS4)
+COUNTIF($A$1,"2S-Gişe Sorumlusu-Lise")*(AS4)
+COUNTIF($A$1,"2S-Gişe Sorumlusu-Ortaokul")*(AS4)
+COUNTIF($A$1,"2S-Gişe Sorumlusu-İlkokul")*(AS4)
+COUNTIF($A$1,"2S-Gişe Görevlisi-Üniversite")*(AT4)
+COUNTIF($A$1,"2S-Gişe Görevlisi-MYO")*(AT4)
+COUNTIF($A$1,"2S-Gişe Görevlisi-Lise")*(AT4)
+COUNTIF($A$1,"2S-Gişe Görevlisi-Ortaokul")*(AT4)
+COUNTIF($A$1,"2S-Gişe Görevlisi-İlkokul")*(AT4)
+COUNTIF($A$1,"2S-Terminal Görevlisi-Üniversite")*(AU4)
+COUNTIF($A$1,"2S-Terminal Görevlisi-MYO")*(AU4)
+COUNTIF($A$1,"2S-Terminal Görevlisi-Lise")*(AU4)
+COUNTIF($A$1,"2S-Terminal Görevlisi-Ortaokul")*(AU4)
+COUNTIF($A$1,"2S-Terminal Görevlisi-İlkokul")*(AU4)
+COUNTIF($A$1,"2S-İskele Görevlisi-Üniversite")*(AV4)
+COUNTIF($A$1,"2S-İskele Görevlisi-MYO")*(AV4)
+COUNTIF($A$1,"2S-İskele Görevlisi-Lise")*(AV4)
+COUNTIF($A$1,"2S-İskele Görevlisi-Ortaokul")*(AV4)
+COUNTIF($A$1,"2S-İskele Görevlisi-İlkokul")*(AV4)</f>
        <v>0</v>
      </c>
      <c r="AY4" s="21">
        <f ca="1">(AZ4/CU22)</f>
        <v>0</v>
      </c>
      <c r="AZ4" s="21">
        <f>COUNTIF($A$1,"2S-Gişe Sorumlusu-Üniversite")*(13.1*I19)
+COUNTIF($A$1,"2S-Gişe Sorumlusu-MYO")*(13.1*I19)
+COUNTIF($A$1,"2S-Gişe Sorumlusu-Lise")*(13.1*I19)
+COUNTIF($A$1,"2S-Gişe Sorumlusu-Ortaokul")*(13.1*I19)
+COUNTIF($A$1,"2S-Gişe Sorumlusu-İlkokul")*(13.1*I19)
+COUNTIF($A$1,"2S-Gişe Görevlisi-Üniversite")*(13.1*I19)
+COUNTIF($A$1,"2S-Gişe Görevlisi-MYO")*(13.1*I19)
+COUNTIF($A$1,"2S-Gişe Görevlisi-Lise")*(13.1*I19)
+COUNTIF($A$1,"2S-Gişe Görevlisi-Ortaokul")*(13.1*I19)
+COUNTIF($A$1,"2S-Gişe Görevlisi-İlkokul")*(13.1*I19)
+COUNTIF($A$1,"2S-Terminal Görevlisi-Üniversite")*(13.1*I19)
+COUNTIF($A$1,"2S-Terminal Görevlisi-MYO")*(13.1*I19)
+COUNTIF($A$1,"2S-Terminal Görevlisi-Lise")*(13.1*I19)
+COUNTIF($A$1,"2S-Terminal Görevlisi-Ortaokul")*(13.1*I19)
+COUNTIF($A$1,"2S-Terminal Görevlisi-İlkokul")*(13.1*I19)
+COUNTIF($A$1,"2S-İskele Görevlisi-Üniversite")*(13.1*I19)
+COUNTIF($A$1,"2S-İskele Görevlisi-MYO")*(13.1*I19)
+COUNTIF($A$1,"2S-İskele Görevlisi-Lise")*(13.1*I19)
+COUNTIF($A$1,"2S-İskele Görevlisi-Ortaokul")*(13.1*I19)
+COUNTIF($A$1,"2S-İskele Görevlisi-İlkokul")*(13.1*I19)</f>
        <v>0</v>
      </c>
      <c r="BA4" s="21">
        <f ca="1">(BB4/CU22)</f>
        <v>0</v>
      </c>
      <c r="BB4" s="21">
        <f>COUNTIF($A$1,"Atölye-Formen")*(4.03*J19)
+COUNTIF($A$1,"Atölye-Teknisyen")*(4.03*J19)
+COUNTIF($A$1,"Atölye-Ustabaşı")*(4.03*J19)
+COUNTIF($A$1,"Atölye-Usta")*(4.03*J19)
+COUNTIF($A$1,"Atölye-İşçi")*(4.03*J19)</f>
        <v>0</v>
      </c>
      <c r="BC4" s="21">
        <f ca="1">(BD4/CU22)</f>
        <v>0</v>
      </c>
      <c r="BD4" s="21">
        <f>COUNTIF($A$1,"Atölye-Formen")*(5.35*K19)
+COUNTIF($A$1,"Atölye-Teknisyen")*(5.35*K19)
+COUNTIF($A$1,"Atölye-Ustabaşı")*(5.35*K19)
+COUNTIF($A$1,"Atölye-Usta")*(5.35*K19)
+COUNTIF($A$1,"Atölye-İşçi")*(5.35*K19)</f>
        <v>0</v>
      </c>
      <c r="BE4" s="21">
        <f ca="1">(BF4/CV22)</f>
        <v>0</v>
      </c>
      <c r="BF4" s="21">
        <f>COUNTIF($A$1,"2S-Gişe Sorumlusu-Üniversite")*(5.4*L19)
+COUNTIF($A$1,"2S-Gişe Sorumlusu-MYO")*(5.4*L19)
+COUNTIF($A$1,"2S-Gişe Sorumlusu-Lise")*(5.4*L19)
+COUNTIF($A$1,"2S-Gişe Sorumlusu-Ortaokul")*(5.4*L19)
+COUNTIF($A$1,"2S-Gişe Sorumlusu-İlkokul")*(5.4*L19)
+COUNTIF($A$1,"2S-Gişe Görevlisi-Üniversite")*(5.4*L19)
+COUNTIF($A$1,"2S-Gişe Görevlisi-MYO")*(5.4*L19)
+COUNTIF($A$1,"2S-Gişe Görevlisi-Lise")*(5.4*L19)
+COUNTIF($A$1,"2S-Gişe Görevlisi-Ortaokul")*(5.4*L19)
+COUNTIF($A$1,"2S-Gişe Görevlisi-İlkokul")*(5.4*L19)</f>
        <v>0</v>
      </c>
      <c r="BG4" s="21">
        <f ca="1">COUNTIF(BZ5,"Var")*(AO15*0.9*-1)</f>
        <v>-160.75376399736308</v>
      </c>
      <c r="BH4" s="21">
        <f ca="1">(BG4*-1)</f>
        <v>160.75376399736308</v>
      </c>
      <c r="BI4" s="29">
        <f ca="1">(CH20*P17+BJ4)*-1</f>
        <v>0</v>
      </c>
      <c r="BJ4" s="29">
        <f ca="1">(AW18+AY18+BA18-AU15)*(P17*-1)</f>
        <v>0</v>
      </c>
      <c r="BK4" s="29">
        <f ca="1">(BI4+BJ4)</f>
        <v>0</v>
      </c>
      <c r="BL4" s="21" t="s">
        <v>0</v>
      </c>
      <c r="BM4" s="21">
        <f>(5004)</f>
        <v>5004</v>
      </c>
      <c r="BN4" s="21">
        <f>(5004)</f>
        <v>5004</v>
      </c>
      <c r="BO4" s="21">
        <f>(BM4-BN4)</f>
        <v>0</v>
      </c>
      <c r="BP4" s="21">
        <f>(BO4*0.00759*-1)</f>
        <v>0</v>
      </c>
      <c r="BQ4" s="21">
        <f>(0)</f>
        <v>0</v>
      </c>
      <c r="BR4" s="21">
        <f>(BM4-BQ4)</f>
        <v>5004</v>
      </c>
      <c r="BS4" s="21">
        <f>(BR4*0.14*-1)</f>
        <v>-700.56000000000006</v>
      </c>
      <c r="BT4" s="21">
        <f>(BR4*0.01*-1)</f>
        <v>-50.04</v>
      </c>
      <c r="BU4" s="28" t="s">
        <v>65</v>
      </c>
      <c r="BV4" s="29">
        <v>932.57</v>
      </c>
      <c r="BW4" s="29">
        <f t="shared" si="1"/>
        <v>0</v>
      </c>
      <c r="BX4" s="29">
        <f t="shared" si="2"/>
        <v>0</v>
      </c>
      <c r="BY4" s="29">
        <f t="shared" ca="1" si="3"/>
        <v>0</v>
      </c>
      <c r="BZ4" s="33" t="s">
        <v>11</v>
      </c>
      <c r="CA4" s="21">
        <f ca="1">COUNTIF(BZ4,"Var")*(AO14*0.9*-1)</f>
        <v>-157.81250567004437</v>
      </c>
      <c r="CB4" s="21">
        <f t="shared" ref="CB4:CB14" ca="1" si="8">(CA4*-1)</f>
        <v>157.81250567004437</v>
      </c>
      <c r="CC4" s="29">
        <f ca="1">(CH19*P16+CD4)*-1</f>
        <v>0</v>
      </c>
      <c r="CD4" s="29">
        <f ca="1">(BF17+BH17+BJ17-AU14)*(P16*-1)</f>
        <v>0</v>
      </c>
      <c r="CE4" s="29">
        <f t="shared" ref="CE4:CE14" ca="1" si="9">(CC4+CD4)</f>
        <v>0</v>
      </c>
      <c r="CF4" s="21" t="s">
        <v>0</v>
      </c>
      <c r="CG4" s="21">
        <f>(5004)</f>
        <v>5004</v>
      </c>
      <c r="CH4" s="21">
        <f>(5004)</f>
        <v>5004</v>
      </c>
      <c r="CI4" s="21">
        <f t="shared" ref="CI4:CI14" si="10">(CG4-CH4)</f>
        <v>0</v>
      </c>
      <c r="CJ4" s="21">
        <f t="shared" ref="CJ4:CJ14" si="11">(CI4*0.00759*-1)</f>
        <v>0</v>
      </c>
      <c r="CK4" s="21">
        <f>(0)</f>
        <v>0</v>
      </c>
      <c r="CL4" s="21">
        <f t="shared" ref="CL4:CL14" si="12">(CG4-CK4)</f>
        <v>5004</v>
      </c>
      <c r="CM4" s="21">
        <f t="shared" ref="CM4:CM14" si="13">(CL4*0.14*-1)</f>
        <v>-700.56000000000006</v>
      </c>
      <c r="CN4" s="21">
        <f t="shared" ref="CN4:CN14" si="14">(CL4*0.01*-1)</f>
        <v>-50.04</v>
      </c>
      <c r="CO4" s="34">
        <v>0.2</v>
      </c>
      <c r="CP4" s="21">
        <f>$CQ$3</f>
        <v>32000</v>
      </c>
      <c r="CQ4" s="21">
        <v>70000</v>
      </c>
      <c r="CR4" s="21">
        <f>(CQ3-CP3)*CO3+CR3</f>
        <v>4800</v>
      </c>
      <c r="CS4" s="21">
        <f>(0)</f>
        <v>0</v>
      </c>
      <c r="CT4" s="21">
        <f t="shared" si="4"/>
        <v>4253.3999999999996</v>
      </c>
      <c r="CU4" s="21">
        <f>SUM(CT$3:$CT4)</f>
        <v>8506.7999999999993</v>
      </c>
      <c r="CV4" s="30">
        <f t="shared" si="5"/>
        <v>0.15</v>
      </c>
      <c r="CW4" s="33">
        <f t="shared" ref="CW4:CW14" si="15">IF(CV4-CV3=0,0,1)</f>
        <v>0</v>
      </c>
      <c r="CX4" s="35">
        <f>IF(CW4=0,CV4,(VLOOKUP($CV4,$CO$3:$CR$7,2,0)-CU3)/CT4*CV3+(CU4-VLOOKUP($CV4,$CO$3:$CR$7,2,0))/CT4*CV4)</f>
        <v>0.15</v>
      </c>
      <c r="CY4" s="21">
        <f>(ROUND(CT4*CX4,2))</f>
        <v>638.01</v>
      </c>
      <c r="CZ4" s="35">
        <f t="shared" ref="CZ4:CZ14" si="16">(100+(100*0.00759*-1)+(100*0.01*-1)+(100*0.01*-1)+(100+100*0.14*-1+100*0.01*-1)*CX4*-1)/100</f>
        <v>0.84491000000000005</v>
      </c>
      <c r="DA4" s="21">
        <f t="shared" si="6"/>
        <v>5004</v>
      </c>
      <c r="DB4" s="21">
        <f t="shared" si="7"/>
        <v>4253.3999999999996</v>
      </c>
      <c r="DC4" s="27">
        <v>2</v>
      </c>
      <c r="DD4" s="31">
        <v>1</v>
      </c>
      <c r="DE4" s="32">
        <v>0.04</v>
      </c>
      <c r="DF4" s="42"/>
    </row>
    <row r="5" spans="1:110" ht="39.950000000000003" customHeight="1" x14ac:dyDescent="0.25">
      <c r="A5" s="68"/>
      <c r="B5" s="69"/>
      <c r="C5" s="61"/>
      <c r="D5" s="61"/>
      <c r="E5" s="70"/>
      <c r="F5" s="61"/>
      <c r="G5" s="61"/>
      <c r="H5" s="61"/>
      <c r="I5" s="61"/>
      <c r="J5" s="61"/>
      <c r="K5" s="61"/>
      <c r="L5" s="61"/>
      <c r="M5" s="61"/>
      <c r="N5" s="61"/>
      <c r="O5" s="61"/>
      <c r="P5" s="61"/>
      <c r="Q5" s="61"/>
      <c r="R5" s="61"/>
      <c r="S5" s="72"/>
      <c r="T5" s="44" t="s">
        <v>8</v>
      </c>
      <c r="U5" s="45">
        <f t="shared" ref="U5:U8" si="17">IF(V5&gt;0,V5,V5*-1)</f>
        <v>10080</v>
      </c>
      <c r="V5" s="45">
        <f>COUNTIF(W1,"Ocak")*(BK16)
+COUNTIF(W1,"Şubat")*(BK17)
+COUNTIF(W1,"Mart")*(BB18)
+COUNTIF(W1,"Nisan")*(BB1)
+COUNTIF(W1,"Mayıs")*(BB2)
+COUNTIF(W1,"Haziran")*(BB3)
+COUNTIF(W1,"Temmuz")*(BB19)
+COUNTIF(W1,"Ağustos")*(BB20)
+COUNTIF(W1,"Eylül")*(BB21)
+COUNTIF(W1,"Ekim")*(BB22)
+COUNTIF(W1,"Kasım")*(BB11)
+COUNTIF(W1,"Aralık")*(BB12)
+COUNTIF(W1,"Yıllık Toplam")*(BS11)
+COUNTIF(W1,"Yıllık Ortalama")*(BS12)</f>
        <v>10080</v>
      </c>
      <c r="W5" s="71"/>
      <c r="X5" s="65"/>
      <c r="Y5" s="49" t="s">
        <v>30</v>
      </c>
      <c r="Z5" s="51" t="s">
        <v>51</v>
      </c>
      <c r="AA5" s="54"/>
      <c r="AB5" s="55"/>
      <c r="AC5" s="57"/>
      <c r="AD5" s="56"/>
      <c r="AE5" s="20" t="s">
        <v>85</v>
      </c>
      <c r="AF5" s="21">
        <v>208</v>
      </c>
      <c r="AG5" s="21">
        <v>208</v>
      </c>
      <c r="AH5" s="21">
        <f ca="1">(AI5/CU23)</f>
        <v>895.28710161954768</v>
      </c>
      <c r="AI5" s="21">
        <f>(602/30*BT9)</f>
        <v>602</v>
      </c>
      <c r="AJ5" s="21">
        <f>(0)</f>
        <v>0</v>
      </c>
      <c r="AK5" s="21">
        <f>(0)</f>
        <v>0</v>
      </c>
      <c r="AL5" s="21">
        <f>(0)</f>
        <v>0</v>
      </c>
      <c r="AM5" s="26">
        <v>30</v>
      </c>
      <c r="AN5" s="21">
        <f ca="1">(AO5/CU23)</f>
        <v>6670.0376258532742</v>
      </c>
      <c r="AO5" s="21">
        <f>(AR3*AM5)</f>
        <v>4485</v>
      </c>
      <c r="AP5" s="26">
        <v>30</v>
      </c>
      <c r="AQ5" s="21">
        <f ca="1">(AR5/CU23)</f>
        <v>518.59728439493767</v>
      </c>
      <c r="AR5" s="21">
        <f>COUNTIF($A$1,"1S-Makine ve Elektrik Teknisyenleri-Üniversite")*(566.31/30*AP5)
+COUNTIF($A$1,"1S-Makine ve Elektrik Teknisyenleri-MYO")*(566.31/30*AP5)
+COUNTIF($A$1,"1S-Makine ve Elektrik Teknisyenleri-Lise")*(566.31/30*AP5)
+COUNTIF($A$1,"1S-Makine ve Elektrik Teknisyenleri-Ortaokul")*(566.31/30*AP5)
+COUNTIF($A$1,"1S-Makine ve Elektrik Teknisyenleri-İlkokul")*(566.31/30*AP5)
+COUNTIF($A$1,"1S-Yakıt Elemanı-Üniversite")*(566.31/30*AP5)
+COUNTIF($A$1,"1S-Yakıt Elemanı-MYO")*(566.31/30*AP5)
+COUNTIF($A$1,"1S-Yakıt Elemanı-Lise")*(566.31/30*AP5)
+COUNTIF($A$1,"1S-Yakıt Elemanı-Ortaokul")*(566.31/30*AP5)
+COUNTIF($A$1,"1S-Yakıt Elemanı-İlkokul")*(566.31/30*AP5)
+COUNTIF($A$1,"1S-Tanker Şoförü-Üniversite")*(566.31/30*AP5)
+COUNTIF($A$1,"1S-Tanker Şoförü-MYO")*(566.31/30*AP5)
+COUNTIF($A$1,"1S-Tanker Şoförü-Lise")*(566.31/30*AP5)
+COUNTIF($A$1,"1S-Tanker Şoförü-Ortaokul")*(566.31/30*AP5)
+COUNTIF($A$1,"1S-Tanker Şoförü-İlkokul")*(566.31/30*AP5)
+COUNTIF($A$1,"1S-Vinç Operatörü-Üniversite")*(566.31/30*AP5)
+COUNTIF($A$1,"1S-Vinç Operatörü-MYO")*(566.31/30*AP5)
+COUNTIF($A$1,"1S-Vinç Operatörü-Lise")*(566.31/30*AP5)
+COUNTIF($A$1,"1S-Vinç Operatörü-Ortaokul")*(566.31/30*AP5)
+COUNTIF($A$1,"1S-Vinç Operatörü-İlkokul")*(566.31/30*AP5)
+COUNTIF($A$1,"1S-Rampa Görevlisi-Üniversite")*(566.31/30*AP5)
+COUNTIF($A$1,"1S-Rampa Görevlisi-MYO")*(566.31/30*AP5)
+COUNTIF($A$1,"1S-Rampa Görevlisi-Lise")*(566.31/30*AP5)
+COUNTIF($A$1,"1S-Rampa Görevlisi-Ortaokul")*(566.31/30*AP5)
+COUNTIF($A$1,"1S-Rampa Görevlisi-İlkokul")*(566.31/30*AP5)
+COUNTIF($A$1,"1S-Yakıt Hizmetlisi-Üniversite")*(566.31/30*AP5)
+COUNTIF($A$1,"1S-Yakıt Hizmetlisi-MYO")*(566.31/30*AP5)
+COUNTIF($A$1,"1S-Yakıt Hizmetlisi-Lise")*(566.31/30*AP5)
+COUNTIF($A$1,"1S-Yakıt Hizmetlisi-Ortaokul")*(566.31/30*AP5)
+COUNTIF($A$1,"1S-Yakıt Hizmetlisi-İlkokul")*(566.31/30*AP5)
+COUNTIF($A$1,"2S-Rampa Görevlisi-Üniversite")*(348.71/30*AP5)
+COUNTIF($A$1,"2S-Rampa Görevlisi-MYO")*(348.71/30*AP5)
+COUNTIF($A$1,"2S-Rampa Görevlisi-Lise")*(348.71/30*AP5)
+COUNTIF($A$1,"2S-Rampa Görevlisi-Ortaokul")*(348.71/30*AP5)
+COUNTIF($A$1,"2S-Rampa Görevlisi-İlkokul")*(348.71/30*AP5)
+COUNTIF($A$1,"2S-Hizmetliler-Üniversite")*(348.71/30*AP5)
+COUNTIF($A$1,"2S-Hizmetliler-MYO")*(348.71/30*AP5)
+COUNTIF($A$1,"2S-Hizmetliler-Lise")*(348.71/30*AP5)
+COUNTIF($A$1,"2S-Hizmetliler-Ortaokul")*(348.71/30*AP5)
+COUNTIF($A$1,"2S-Hizmetliler-İlkokul")*(348.71/30*AP5)
+COUNTIF($A$1,"2S-Çaycı-Üniversite")*(348.71/30*AP5)
+COUNTIF($A$1,"2S-Çaycı-MYO")*(348.71/30*AP5)
+COUNTIF($A$1,"2S-Çaycı-Lise")*(348.71/30*AP5)
+COUNTIF($A$1,"2S-Çaycı-Ortaokul")*(348.71/30*AP5)
+COUNTIF($A$1,"2S-Çaycı-İlkokul")*(348.71/30*AP5)
+COUNTIF($A$1,"2S-Gişe Sorumlusu-Üniversite")*(348.71/30*AP5)
+COUNTIF($A$1,"2S-Gişe Sorumlusu-MYO")*(348.71/30*AP5)
+COUNTIF($A$1,"2S-Gişe Sorumlusu-Lise")*(348.71/30*AP5)
+COUNTIF($A$1,"2S-Gişe Sorumlusu-Ortaokul")*(348.71/30*AP5)
+COUNTIF($A$1,"2S-Gişe Sorumlusu-İlkokul")*(348.71/30*AP5)
+COUNTIF($A$1,"2S-Gişe Görevlisi-Üniversite")*(348.71/30*AP5)
+COUNTIF($A$1,"2S-Gişe Görevlisi-MYO")*(348.71/30*AP5)
+COUNTIF($A$1,"2S-Gişe Görevlisi-Lise")*(348.71/30*AP5)
+COUNTIF($A$1,"2S-Gişe Görevlisi-Ortaokul")*(348.71/30*AP5)
+COUNTIF($A$1,"2S-Gişe Görevlisi-İlkokul")*(348.71/30*AP5)
+COUNTIF($A$1,"2S-Terminal Görevlisi-Üniversite")*(348.71/30*AP5)
+COUNTIF($A$1,"2S-Terminal Görevlisi-MYO")*(348.71/30*AP5)
+COUNTIF($A$1,"2S-Terminal Görevlisi-Lise")*(348.71/30*AP5)
+COUNTIF($A$1,"2S-Terminal Görevlisi-Ortaokul")*(348.71/30*AP5)
+COUNTIF($A$1,"2S-Terminal Görevlisi-İlkokul")*(348.71/30*AP5)
+COUNTIF($A$1,"2S-İskele Görevlisi-Üniversite")*(348.71/30*AP5)
+COUNTIF($A$1,"2S-İskele Görevlisi-MYO")*(348.71/30*AP5)
+COUNTIF($A$1,"2S-İskele Görevlisi-Lise")*(348.71/30*AP5)
+COUNTIF($A$1,"2S-İskele Görevlisi-Ortaokul")*(348.71/30*AP5)
+COUNTIF($A$1,"2S-İskele Görevlisi-İlkokul")*(348.71/30*AP5)
+COUNTIF($A$1,"Atölye-Formen")*(348.71/30*AP5)
+COUNTIF($A$1,"Atölye-Teknisyen")*(348.71/30*AP5)
+COUNTIF($A$1,"Atölye-Ustabaşı")*(348.71/30*AP5)
+COUNTIF($A$1,"Atölye-Usta")*(348.71/30*AP5)
+COUNTIF($A$1,"Atölye-İşçi")*(348.71/30*AP5)</f>
        <v>348.71</v>
      </c>
      <c r="AS5" s="24">
        <f>COUNTIF(G20,"Yok")*(0)
+COUNTIF(G20,"Bakırköy")*(115.36/30*H20)
+COUNTIF(G20,"Bandırma")*(115.36/30*H20)
+COUNTIF(G20,"Bostancı")*(520.17/30*H20)
+COUNTIF(G20,"Bursa")*(520.17/30*H20)
+COUNTIF(G20,"Eskihisar")*(635.52/30*H20)
+COUNTIF(G20,"Harem")*(520.17/30*H20)
+COUNTIF(G20,"Kabataş")*(520.17/30*H20)
+COUNTIF(G20,"Kadıköy")*(520.17/30*H20)
+COUNTIF(G20,"Pendik")*(520.17/30*H20)
+COUNTIF(G20,"Sirkeci")*(520.17/30*H20)
+COUNTIF(G20,"Topçular")*(635.52/30*H20)
+COUNTIF(G20,"Yalova")*(635.52/30*H20)
+COUNTIF(G20,"Yenikapı")*(635.52/30*H20)</f>
        <v>0</v>
      </c>
      <c r="AT5" s="24">
        <f>COUNTIF(G20,"Yok")*(0)
+COUNTIF(G20,"Bakırköy")*(98.58/30*H20)
+COUNTIF(G20,"Bandırma")*(98.58/30*H20)
+COUNTIF(G20,"Beşiktaş")*(98.58/30*H20)
+COUNTIF(G20,"Bostancı")*(98.58/30*H20)
+COUNTIF(G20,"Bursa")*(98.58/30*H20)
+COUNTIF(G20,"Eskihisar")*(98.58/30*H20)
+COUNTIF(G20,"Harem")*(98.58/30*H20)
+COUNTIF(G20,"Kabataş")*(98.58/30*H20)
+COUNTIF(G20,"Kadıköy")*(98.58/30*H20)
+COUNTIF(G20,"Pendik")*(98.58/30*H20)
+COUNTIF(G20,"Sirkeci")*(98.58/30*H20)
+COUNTIF(G20,"Topçular")*(98.58/30*H20)
+COUNTIF(G20,"Yalova")*(98.58/30*H20)
+COUNTIF(G20,"Yenikapı")*(98.58/30*H20)</f>
        <v>0</v>
      </c>
      <c r="AU5" s="24">
        <f>COUNTIF(G20,"Yok")*(0)
+COUNTIF(G20,"Bakırköy")*(264.27/30*H20)
+COUNTIF(G20,"Bandırma")*(125.85/30*H20)
+COUNTIF(G20,"Beşiktaş")*(264.27/30*H20)
+COUNTIF(G20,"Bostancı")*(264.27/30*H20)
+COUNTIF(G20,"Bursa")*(402.7/30*H20)
+COUNTIF(G20,"Eskihisar")*(402.7/30*H20)
+COUNTIF(G20,"Harem")*(402.7/30*H20)
+COUNTIF(G20,"Kabataş")*(264.27/30*H20)
+COUNTIF(G20,"Kadıköy")*(264.27/30*H20)
+COUNTIF(G20,"Maltepe")*(125.85/30*H20)
+COUNTIF(G20,"Pendik")*(264.27/30*H20)
+COUNTIF(G20,"Sirkeci")*(402.7/30*H20)
+COUNTIF(G20,"Topçular")*(402.7/30*H20)
+COUNTIF(G20,"Yalova")*(402.7/30*H20)
+COUNTIF(G20,"Yenikapı")*(402.7/30*H20)</f>
        <v>0</v>
      </c>
      <c r="AV5" s="24">
        <f>COUNTIF(G20,"Yok")*(0)
+COUNTIF(G20,"Eskihisar")*(83.89/30*H20)
+COUNTIF(G20,"Harem")*(83.89/30*H20)
+COUNTIF(G20,"Sirkeci")*(83.89/30*H20)
+COUNTIF(G20,"Topçular")*(83.89/30*H20)</f>
        <v>0</v>
      </c>
      <c r="AW5" s="21">
        <f ca="1">(AX5/CU23)</f>
        <v>0</v>
      </c>
      <c r="AX5" s="21">
        <f>COUNTIF($A$1,"2S-Gişe Sorumlusu-Üniversite")*(AS5)
+COUNTIF($A$1,"2S-Gişe Sorumlusu-MYO")*(AS5)
+COUNTIF($A$1,"2S-Gişe Sorumlusu-Lise")*(AS5)
+COUNTIF($A$1,"2S-Gişe Sorumlusu-Ortaokul")*(AS5)
+COUNTIF($A$1,"2S-Gişe Sorumlusu-İlkokul")*(AS5)
+COUNTIF($A$1,"2S-Gişe Görevlisi-Üniversite")*(AT5)
+COUNTIF($A$1,"2S-Gişe Görevlisi-MYO")*(AT5)
+COUNTIF($A$1,"2S-Gişe Görevlisi-Lise")*(AT5)
+COUNTIF($A$1,"2S-Gişe Görevlisi-Ortaokul")*(AT5)
+COUNTIF($A$1,"2S-Gişe Görevlisi-İlkokul")*(AT5)
+COUNTIF($A$1,"2S-Terminal Görevlisi-Üniversite")*(AU5)
+COUNTIF($A$1,"2S-Terminal Görevlisi-MYO")*(AU5)
+COUNTIF($A$1,"2S-Terminal Görevlisi-Lise")*(AU5)
+COUNTIF($A$1,"2S-Terminal Görevlisi-Ortaokul")*(AU5)
+COUNTIF($A$1,"2S-Terminal Görevlisi-İlkokul")*(AU5)
+COUNTIF($A$1,"2S-İskele Görevlisi-Üniversite")*(AV5)
+COUNTIF($A$1,"2S-İskele Görevlisi-MYO")*(AV5)
+COUNTIF($A$1,"2S-İskele Görevlisi-Lise")*(AV5)
+COUNTIF($A$1,"2S-İskele Görevlisi-Ortaokul")*(AV5)
+COUNTIF($A$1,"2S-İskele Görevlisi-İlkokul")*(AV5)</f>
        <v>0</v>
      </c>
      <c r="AY5" s="21">
        <f ca="1">(AZ5/CU23)</f>
        <v>0</v>
      </c>
      <c r="AZ5" s="21">
        <f>COUNTIF($A$1,"2S-Gişe Sorumlusu-Üniversite")*(13.1*I20)
+COUNTIF($A$1,"2S-Gişe Sorumlusu-MYO")*(13.1*I20)
+COUNTIF($A$1,"2S-Gişe Sorumlusu-Lise")*(13.1*I20)
+COUNTIF($A$1,"2S-Gişe Sorumlusu-Ortaokul")*(13.1*I20)
+COUNTIF($A$1,"2S-Gişe Sorumlusu-İlkokul")*(13.1*I20)
+COUNTIF($A$1,"2S-Gişe Görevlisi-Üniversite")*(13.1*I20)
+COUNTIF($A$1,"2S-Gişe Görevlisi-MYO")*(13.1*I20)
+COUNTIF($A$1,"2S-Gişe Görevlisi-Lise")*(13.1*I20)
+COUNTIF($A$1,"2S-Gişe Görevlisi-Ortaokul")*(13.1*I20)
+COUNTIF($A$1,"2S-Gişe Görevlisi-İlkokul")*(13.1*I20)
+COUNTIF($A$1,"2S-Terminal Görevlisi-Üniversite")*(13.1*I20)
+COUNTIF($A$1,"2S-Terminal Görevlisi-MYO")*(13.1*I20)
+COUNTIF($A$1,"2S-Terminal Görevlisi-Lise")*(13.1*I20)
+COUNTIF($A$1,"2S-Terminal Görevlisi-Ortaokul")*(13.1*I20)
+COUNTIF($A$1,"2S-Terminal Görevlisi-İlkokul")*(13.1*I20)
+COUNTIF($A$1,"2S-İskele Görevlisi-Üniversite")*(13.1*I20)
+COUNTIF($A$1,"2S-İskele Görevlisi-MYO")*(13.1*I20)
+COUNTIF($A$1,"2S-İskele Görevlisi-Lise")*(13.1*I20)
+COUNTIF($A$1,"2S-İskele Görevlisi-Ortaokul")*(13.1*I20)
+COUNTIF($A$1,"2S-İskele Görevlisi-İlkokul")*(13.1*I20)</f>
        <v>0</v>
      </c>
      <c r="BA5" s="21">
        <f ca="1">(BB5/CU23)</f>
        <v>0</v>
      </c>
      <c r="BB5" s="21">
        <f>COUNTIF($A$1,"Atölye-Formen")*(4.03*J20)
+COUNTIF($A$1,"Atölye-Teknisyen")*(4.03*J20)
+COUNTIF($A$1,"Atölye-Ustabaşı")*(4.03*J20)
+COUNTIF($A$1,"Atölye-Usta")*(4.03*J20)
+COUNTIF($A$1,"Atölye-İşçi")*(4.03*J20)</f>
        <v>0</v>
      </c>
      <c r="BC5" s="21">
        <f ca="1">(BD5/CU23)</f>
        <v>0</v>
      </c>
      <c r="BD5" s="21">
        <f>COUNTIF($A$1,"Atölye-Formen")*(5.35*K20)
+COUNTIF($A$1,"Atölye-Teknisyen")*(5.35*K20)
+COUNTIF($A$1,"Atölye-Ustabaşı")*(5.35*K20)
+COUNTIF($A$1,"Atölye-Usta")*(5.35*K20)
+COUNTIF($A$1,"Atölye-İşçi")*(5.35*K20)</f>
        <v>0</v>
      </c>
      <c r="BE5" s="21">
        <f ca="1">(BF5/CV23)</f>
        <v>0</v>
      </c>
      <c r="BF5" s="21">
        <f>COUNTIF($A$1,"2S-Gişe Sorumlusu-Üniversite")*(5.4*L20)
+COUNTIF($A$1,"2S-Gişe Sorumlusu-MYO")*(5.4*L20)
+COUNTIF($A$1,"2S-Gişe Sorumlusu-Lise")*(5.4*L20)
+COUNTIF($A$1,"2S-Gişe Sorumlusu-Ortaokul")*(5.4*L20)
+COUNTIF($A$1,"2S-Gişe Sorumlusu-İlkokul")*(5.4*L20)
+COUNTIF($A$1,"2S-Gişe Görevlisi-Üniversite")*(5.4*L20)
+COUNTIF($A$1,"2S-Gişe Görevlisi-MYO")*(5.4*L20)
+COUNTIF($A$1,"2S-Gişe Görevlisi-Lise")*(5.4*L20)
+COUNTIF($A$1,"2S-Gişe Görevlisi-Ortaokul")*(5.4*L20)
+COUNTIF($A$1,"2S-Gişe Görevlisi-İlkokul")*(5.4*L20)</f>
        <v>0</v>
      </c>
      <c r="BG5" s="21">
        <f ca="1">COUNTIF(BZ6,"Var")*(AO1*0.9*-1)</f>
        <v>-159.83870585108616</v>
      </c>
      <c r="BH5" s="21">
        <f ca="1">(BG5*-1)</f>
        <v>159.83870585108616</v>
      </c>
      <c r="BI5" s="29">
        <f ca="1">(CH21*P18+BJ5)*-1</f>
        <v>0</v>
      </c>
      <c r="BJ5" s="29">
        <f ca="1">(AW1+AY1+BA1-BF1)*(P18*-1)</f>
        <v>0</v>
      </c>
      <c r="BK5" s="29">
        <f ca="1">(BI5+BJ5)</f>
        <v>0</v>
      </c>
      <c r="BL5" s="21" t="s">
        <v>0</v>
      </c>
      <c r="BM5" s="21">
        <f>(5004)</f>
        <v>5004</v>
      </c>
      <c r="BN5" s="21">
        <f>(5004)</f>
        <v>5004</v>
      </c>
      <c r="BO5" s="21">
        <f>(BM5-BN5)</f>
        <v>0</v>
      </c>
      <c r="BP5" s="21">
        <f>(BO5*0.00759*-1)</f>
        <v>0</v>
      </c>
      <c r="BQ5" s="21">
        <f>(0)</f>
        <v>0</v>
      </c>
      <c r="BR5" s="21">
        <f>(BM5-BQ5)</f>
        <v>5004</v>
      </c>
      <c r="BS5" s="21">
        <f>(BR5*0.14*-1)</f>
        <v>-700.56000000000006</v>
      </c>
      <c r="BT5" s="21">
        <f>(BR5*0.01*-1)</f>
        <v>-50.04</v>
      </c>
      <c r="BU5" s="28" t="s">
        <v>66</v>
      </c>
      <c r="BV5" s="29">
        <v>4665.95</v>
      </c>
      <c r="BW5" s="29">
        <f t="shared" si="1"/>
        <v>0</v>
      </c>
      <c r="BX5" s="29">
        <f t="shared" si="2"/>
        <v>0</v>
      </c>
      <c r="BY5" s="29">
        <f t="shared" ca="1" si="3"/>
        <v>0</v>
      </c>
      <c r="BZ5" s="33" t="s">
        <v>11</v>
      </c>
      <c r="CO5" s="34">
        <v>0.27</v>
      </c>
      <c r="CP5" s="21">
        <f>$CQ$4</f>
        <v>70000</v>
      </c>
      <c r="CQ5" s="21">
        <v>250000</v>
      </c>
      <c r="CR5" s="21">
        <f>(CQ4-CP4)*CO4+CR4</f>
        <v>12400</v>
      </c>
      <c r="CS5" s="21">
        <f>(0)</f>
        <v>0</v>
      </c>
      <c r="CT5" s="21">
        <f>(BM3+BS3+BT3-CS5)</f>
        <v>4253.3999999999996</v>
      </c>
      <c r="CU5" s="21">
        <f>SUM(CT$3:$CT5)</f>
        <v>12760.199999999999</v>
      </c>
      <c r="CV5" s="30">
        <f t="shared" si="5"/>
        <v>0.15</v>
      </c>
      <c r="CW5" s="33">
        <f t="shared" si="15"/>
        <v>0</v>
      </c>
      <c r="CX5" s="35">
        <f>IF(CW5=0,CV5,(VLOOKUP($CV5,$CO$3:$CR$7,2,0)-CU4)/CT5*CV4+(CU5-VLOOKUP($CV5,$CO$3:$CR$7,2,0))/CT5*CV5)</f>
        <v>0.15</v>
      </c>
      <c r="CY5" s="21">
        <f t="shared" ref="CY5:CY14" si="18">(ROUND(CT5*CX5,2))</f>
        <v>638.01</v>
      </c>
      <c r="CZ5" s="35">
        <f t="shared" si="16"/>
        <v>0.84491000000000005</v>
      </c>
      <c r="DA5" s="21">
        <f>BM3</f>
        <v>5004</v>
      </c>
      <c r="DB5" s="21">
        <f>BM3+BP3+BS3+BT3</f>
        <v>4253.3999999999996</v>
      </c>
      <c r="DC5" s="27">
        <v>3</v>
      </c>
      <c r="DD5" s="31">
        <v>1.5</v>
      </c>
      <c r="DE5" s="32">
        <v>0.05</v>
      </c>
      <c r="DF5" s="42"/>
    </row>
    <row r="6" spans="1:110" ht="39.950000000000003" customHeight="1" x14ac:dyDescent="0.25">
      <c r="A6" s="68"/>
      <c r="B6" s="69"/>
      <c r="C6" s="61"/>
      <c r="D6" s="61"/>
      <c r="E6" s="70"/>
      <c r="F6" s="61"/>
      <c r="G6" s="61"/>
      <c r="H6" s="61"/>
      <c r="I6" s="61"/>
      <c r="J6" s="61"/>
      <c r="K6" s="61"/>
      <c r="L6" s="61"/>
      <c r="M6" s="61"/>
      <c r="N6" s="61"/>
      <c r="O6" s="61"/>
      <c r="P6" s="61"/>
      <c r="Q6" s="61"/>
      <c r="R6" s="61"/>
      <c r="S6" s="72"/>
      <c r="T6" s="44" t="s">
        <v>31</v>
      </c>
      <c r="U6" s="45">
        <f t="shared" si="17"/>
        <v>6662.18</v>
      </c>
      <c r="V6" s="45">
        <f>COUNTIF(W1,"Ocak")*(BD13)
+COUNTIF(W1,"Şubat")*(BD14)
+COUNTIF(W1,"Mart")*(BD15)
+COUNTIF(W1,"Nisan")*(BO16)
+COUNTIF(W1,"Mayıs")*(AI4)
+COUNTIF(W1,"Haziran")*(AI5)
+COUNTIF(W1,"Temmuz")*(AI6)
+COUNTIF(W1,"Ağustos")*(AI7)
+COUNTIF(W1,"Eylül")*(BJ21)
+COUNTIF(W1,"Ekim")*(AT24)
+COUNTIF(W1,"Kasım")*(AT25)
+COUNTIF(W1,"Aralık")*(AT26)
+COUNTIF(W1,"Yıllık Toplam")*(AT27)
+COUNTIF(W1,"Yıllık Ortalama")*(AT28)</f>
        <v>6662.18</v>
      </c>
      <c r="W6" s="71"/>
      <c r="X6" s="65"/>
      <c r="Y6" s="49" t="s">
        <v>28</v>
      </c>
      <c r="Z6" s="50" t="s">
        <v>163</v>
      </c>
      <c r="AA6" s="54"/>
      <c r="AB6" s="55"/>
      <c r="AC6" s="57"/>
      <c r="AD6" s="56"/>
      <c r="AE6" s="20" t="s">
        <v>86</v>
      </c>
      <c r="AF6" s="21">
        <v>183</v>
      </c>
      <c r="AG6" s="21">
        <v>210.57</v>
      </c>
      <c r="AH6" s="21">
        <f ca="1">(AI6/CU24)</f>
        <v>895.28710161954768</v>
      </c>
      <c r="AI6" s="21">
        <f>(602/30*BT10)</f>
        <v>602</v>
      </c>
      <c r="AJ6" s="21">
        <f>(0)</f>
        <v>0</v>
      </c>
      <c r="AK6" s="21">
        <f>(0)</f>
        <v>0</v>
      </c>
      <c r="AL6" s="21">
        <f>(0)</f>
        <v>0</v>
      </c>
      <c r="AM6" s="26">
        <v>0</v>
      </c>
      <c r="AN6" s="21">
        <f ca="1">(AO6/CU24)</f>
        <v>0</v>
      </c>
      <c r="AO6" s="21">
        <f>(AR19*AM6)</f>
        <v>0</v>
      </c>
      <c r="AP6" s="26">
        <v>30</v>
      </c>
      <c r="AQ6" s="21">
        <f ca="1">(AR6/CU24)</f>
        <v>669.23454439999409</v>
      </c>
      <c r="AR6" s="21">
        <f>COUNTIF($A$1,"1S-Makine ve Elektrik Teknisyenleri-Üniversite")*(566.31/30*AP6)
+COUNTIF($A$1,"1S-Makine ve Elektrik Teknisyenleri-MYO")*(566.31/30*AP6)
+COUNTIF($A$1,"1S-Makine ve Elektrik Teknisyenleri-Lise")*(566.31/30*AP6)
+COUNTIF($A$1,"1S-Makine ve Elektrik Teknisyenleri-Ortaokul")*(566.31/30*AP6)
+COUNTIF($A$1,"1S-Makine ve Elektrik Teknisyenleri-İlkokul")*(566.31/30*AP6)
+COUNTIF($A$1,"1S-Yakıt Elemanı-Üniversite")*(566.31/30*AP6)
+COUNTIF($A$1,"1S-Yakıt Elemanı-MYO")*(566.31/30*AP6)
+COUNTIF($A$1,"1S-Yakıt Elemanı-Lise")*(566.31/30*AP6)
+COUNTIF($A$1,"1S-Yakıt Elemanı-Ortaokul")*(566.31/30*AP6)
+COUNTIF($A$1,"1S-Yakıt Elemanı-İlkokul")*(566.31/30*AP6)
+COUNTIF($A$1,"1S-Tanker Şoförü-Üniversite")*(566.31/30*AP6)
+COUNTIF($A$1,"1S-Tanker Şoförü-MYO")*(566.31/30*AP6)
+COUNTIF($A$1,"1S-Tanker Şoförü-Lise")*(566.31/30*AP6)
+COUNTIF($A$1,"1S-Tanker Şoförü-Ortaokul")*(566.31/30*AP6)
+COUNTIF($A$1,"1S-Tanker Şoförü-İlkokul")*(566.31/30*AP6)
+COUNTIF($A$1,"1S-Vinç Operatörü-Üniversite")*(566.31/30*AP6)
+COUNTIF($A$1,"1S-Vinç Operatörü-MYO")*(566.31/30*AP6)
+COUNTIF($A$1,"1S-Vinç Operatörü-Lise")*(566.31/30*AP6)
+COUNTIF($A$1,"1S-Vinç Operatörü-Ortaokul")*(566.31/30*AP6)
+COUNTIF($A$1,"1S-Vinç Operatörü-İlkokul")*(566.31/30*AP6)
+COUNTIF($A$1,"1S-Rampa Görevlisi-Üniversite")*(566.31/30*AP6)
+COUNTIF($A$1,"1S-Rampa Görevlisi-MYO")*(566.31/30*AP6)
+COUNTIF($A$1,"1S-Rampa Görevlisi-Lise")*(566.31/30*AP6)
+COUNTIF($A$1,"1S-Rampa Görevlisi-Ortaokul")*(566.31/30*AP6)
+COUNTIF($A$1,"1S-Rampa Görevlisi-İlkokul")*(566.31/30*AP6)
+COUNTIF($A$1,"1S-Yakıt Hizmetlisi-Üniversite")*(566.31/30*AP6)
+COUNTIF($A$1,"1S-Yakıt Hizmetlisi-MYO")*(566.31/30*AP6)
+COUNTIF($A$1,"1S-Yakıt Hizmetlisi-Lise")*(566.31/30*AP6)
+COUNTIF($A$1,"1S-Yakıt Hizmetlisi-Ortaokul")*(566.31/30*AP6)
+COUNTIF($A$1,"1S-Yakıt Hizmetlisi-İlkokul")*(566.31/30*AP6)
+COUNTIF($A$1,"2S-Rampa Görevlisi-Üniversite")*(450/30*AP6)
+COUNTIF($A$1,"2S-Rampa Görevlisi-MYO")*(450/30*AP6)
+COUNTIF($A$1,"2S-Rampa Görevlisi-Lise")*(450/30*AP6)
+COUNTIF($A$1,"2S-Rampa Görevlisi-Ortaokul")*(450/30*AP6)
+COUNTIF($A$1,"2S-Rampa Görevlisi-İlkokul")*(450/30*AP6)
+COUNTIF($A$1,"2S-Hizmetliler-Üniversite")*(450/30*AP6)
+COUNTIF($A$1,"2S-Hizmetliler-MYO")*(450/30*AP6)
+COUNTIF($A$1,"2S-Hizmetliler-Lise")*(450/30*AP6)
+COUNTIF($A$1,"2S-Hizmetliler-Ortaokul")*(450/30*AP6)
+COUNTIF($A$1,"2S-Hizmetliler-İlkokul")*(450/30*AP6)
+COUNTIF($A$1,"2S-Çaycı-Üniversite")*(450/30*AP6)
+COUNTIF($A$1,"2S-Çaycı-MYO")*(450/30*AP6)
+COUNTIF($A$1,"2S-Çaycı-Lise")*(450/30*AP6)
+COUNTIF($A$1,"2S-Çaycı-Ortaokul")*(450/30*AP6)
+COUNTIF($A$1,"2S-Çaycı-İlkokul")*(450/30*AP6)
+COUNTIF($A$1,"2S-Gişe Sorumlusu-Üniversite")*(450/30*AP6)
+COUNTIF($A$1,"2S-Gişe Sorumlusu-MYO")*(450/30*AP6)
+COUNTIF($A$1,"2S-Gişe Sorumlusu-Lise")*(450/30*AP6)
+COUNTIF($A$1,"2S-Gişe Sorumlusu-Ortaokul")*(450/30*AP6)
+COUNTIF($A$1,"2S-Gişe Sorumlusu-İlkokul")*(450/30*AP6)
+COUNTIF($A$1,"2S-Gişe Görevlisi-Üniversite")*(450/30*AP6)
+COUNTIF($A$1,"2S-Gişe Görevlisi-MYO")*(450/30*AP6)
+COUNTIF($A$1,"2S-Gişe Görevlisi-Lise")*(450/30*AP6)
+COUNTIF($A$1,"2S-Gişe Görevlisi-Ortaokul")*(450/30*AP6)
+COUNTIF($A$1,"2S-Gişe Görevlisi-İlkokul")*(450/30*AP6)
+COUNTIF($A$1,"2S-Terminal Görevlisi-Üniversite")*(450/30*AP6)
+COUNTIF($A$1,"2S-Terminal Görevlisi-MYO")*(450/30*AP6)
+COUNTIF($A$1,"2S-Terminal Görevlisi-Lise")*(450/30*AP6)
+COUNTIF($A$1,"2S-Terminal Görevlisi-Ortaokul")*(450/30*AP6)
+COUNTIF($A$1,"2S-Terminal Görevlisi-İlkokul")*(450/30*AP6)
+COUNTIF($A$1,"2S-İskele Görevlisi-Üniversite")*(450/30*AP6)
+COUNTIF($A$1,"2S-İskele Görevlisi-MYO")*(450/30*AP6)
+COUNTIF($A$1,"2S-İskele Görevlisi-Lise")*(450/30*AP6)
+COUNTIF($A$1,"2S-İskele Görevlisi-Ortaokul")*(450/30*AP6)
+COUNTIF($A$1,"2S-İskele Görevlisi-İlkokul")*(450/30*AP6)
+COUNTIF($A$1,"Atölye-Formen")*(450/30*AP6)
+COUNTIF($A$1,"Atölye-Teknisyen")*(450/30*AP6)
+COUNTIF($A$1,"Atölye-Ustabaşı")*(450/30*AP6)
+COUNTIF($A$1,"Atölye-Usta")*(450/30*AP6)
+COUNTIF($A$1,"Atölye-İşçi")*(450/30*AP6)</f>
        <v>450</v>
      </c>
      <c r="AS6" s="24">
        <f>COUNTIF(G21,"Yok")*(0)
+COUNTIF(G21,"Bakırköy")*(115.36/30*H21)
+COUNTIF(G21,"Bandırma")*(115.36/30*H21)
+COUNTIF(G21,"Bostancı")*(520.17/30*H21)
+COUNTIF(G21,"Bursa")*(520.17/30*H21)
+COUNTIF(G21,"Eskihisar")*(635.52/30*H21)
+COUNTIF(G21,"Harem")*(520.17/30*H21)
+COUNTIF(G21,"Kabataş")*(520.17/30*H21)
+COUNTIF(G21,"Kadıköy")*(520.17/30*H21)
+COUNTIF(G21,"Pendik")*(520.17/30*H21)
+COUNTIF(G21,"Sirkeci")*(520.17/30*H21)
+COUNTIF(G21,"Topçular")*(635.52/30*H21)
+COUNTIF(G21,"Yalova")*(635.52/30*H21)
+COUNTIF(G21,"Yenikapı")*(635.52/30*H21)</f>
        <v>0</v>
      </c>
      <c r="AT6" s="24">
        <f>COUNTIF(G21,"Yok")*(0)
+COUNTIF(G21,"Bakırköy")*(98.58/30*H21)
+COUNTIF(G21,"Bandırma")*(98.58/30*H21)
+COUNTIF(G21,"Beşiktaş")*(98.58/30*H21)
+COUNTIF(G21,"Bostancı")*(98.58/30*H21)
+COUNTIF(G21,"Bursa")*(98.58/30*H21)
+COUNTIF(G21,"Eskihisar")*(98.58/30*H21)
+COUNTIF(G21,"Harem")*(98.58/30*H21)
+COUNTIF(G21,"Kabataş")*(98.58/30*H21)
+COUNTIF(G21,"Kadıköy")*(98.58/30*H21)
+COUNTIF(G21,"Pendik")*(98.58/30*H21)
+COUNTIF(G21,"Sirkeci")*(98.58/30*H21)
+COUNTIF(G21,"Topçular")*(98.58/30*H21)
+COUNTIF(G21,"Yalova")*(98.58/30*H21)
+COUNTIF(G21,"Yenikapı")*(98.58/30*H21)</f>
        <v>0</v>
      </c>
      <c r="AU6" s="24">
        <f>COUNTIF(G21,"Yok")*(0)
+COUNTIF(G21,"Bakırköy")*(264.27/30*H21)
+COUNTIF(G21,"Bandırma")*(125.85/30*H21)
+COUNTIF(G21,"Beşiktaş")*(264.27/30*H21)
+COUNTIF(G21,"Bostancı")*(264.27/30*H21)
+COUNTIF(G21,"Bursa")*(402.7/30*H21)
+COUNTIF(G21,"Eskihisar")*(402.7/30*H21)
+COUNTIF(G21,"Harem")*(402.7/30*H21)
+COUNTIF(G21,"Kabataş")*(264.27/30*H21)
+COUNTIF(G21,"Kadıköy")*(264.27/30*H21)
+COUNTIF(G21,"Maltepe")*(125.85/30*H21)
+COUNTIF(G21,"Pendik")*(264.27/30*H21)
+COUNTIF(G21,"Sirkeci")*(402.7/30*H21)
+COUNTIF(G21,"Topçular")*(402.7/30*H21)
+COUNTIF(G21,"Yalova")*(402.7/30*H21)
+COUNTIF(G21,"Yenikapı")*(402.7/30*H21)</f>
        <v>0</v>
      </c>
      <c r="AV6" s="24">
        <f>COUNTIF(G21,"Yok")*(0)
+COUNTIF(G21,"Eskihisar")*(83.89/30*H21)
+COUNTIF(G21,"Harem")*(83.89/30*H21)
+COUNTIF(G21,"Sirkeci")*(83.89/30*H21)
+COUNTIF(G21,"Topçular")*(83.89/30*H21)</f>
        <v>0</v>
      </c>
      <c r="AW6" s="21">
        <f ca="1">(AX6/CU24)</f>
        <v>0</v>
      </c>
      <c r="AX6" s="21">
        <f>COUNTIF($A$1,"2S-Gişe Sorumlusu-Üniversite")*(AS6)
+COUNTIF($A$1,"2S-Gişe Sorumlusu-MYO")*(AS6)
+COUNTIF($A$1,"2S-Gişe Sorumlusu-Lise")*(AS6)
+COUNTIF($A$1,"2S-Gişe Sorumlusu-Ortaokul")*(AS6)
+COUNTIF($A$1,"2S-Gişe Sorumlusu-İlkokul")*(AS6)
+COUNTIF($A$1,"2S-Gişe Görevlisi-Üniversite")*(AT6)
+COUNTIF($A$1,"2S-Gişe Görevlisi-MYO")*(AT6)
+COUNTIF($A$1,"2S-Gişe Görevlisi-Lise")*(AT6)
+COUNTIF($A$1,"2S-Gişe Görevlisi-Ortaokul")*(AT6)
+COUNTIF($A$1,"2S-Gişe Görevlisi-İlkokul")*(AT6)
+COUNTIF($A$1,"2S-Terminal Görevlisi-Üniversite")*(AU6)
+COUNTIF($A$1,"2S-Terminal Görevlisi-MYO")*(AU6)
+COUNTIF($A$1,"2S-Terminal Görevlisi-Lise")*(AU6)
+COUNTIF($A$1,"2S-Terminal Görevlisi-Ortaokul")*(AU6)
+COUNTIF($A$1,"2S-Terminal Görevlisi-İlkokul")*(AU6)
+COUNTIF($A$1,"2S-İskele Görevlisi-Üniversite")*(AV6)
+COUNTIF($A$1,"2S-İskele Görevlisi-MYO")*(AV6)
+COUNTIF($A$1,"2S-İskele Görevlisi-Lise")*(AV6)
+COUNTIF($A$1,"2S-İskele Görevlisi-Ortaokul")*(AV6)
+COUNTIF($A$1,"2S-İskele Görevlisi-İlkokul")*(AV6)</f>
        <v>0</v>
      </c>
      <c r="AY6" s="21">
        <f ca="1">(AZ6/CU24)</f>
        <v>0</v>
      </c>
      <c r="AZ6" s="21">
        <f>COUNTIF($A$1,"2S-Gişe Sorumlusu-Üniversite")*(13.1*I21)
+COUNTIF($A$1,"2S-Gişe Sorumlusu-MYO")*(13.1*I21)
+COUNTIF($A$1,"2S-Gişe Sorumlusu-Lise")*(13.1*I21)
+COUNTIF($A$1,"2S-Gişe Sorumlusu-Ortaokul")*(13.1*I21)
+COUNTIF($A$1,"2S-Gişe Sorumlusu-İlkokul")*(13.1*I21)
+COUNTIF($A$1,"2S-Gişe Görevlisi-Üniversite")*(13.1*I21)
+COUNTIF($A$1,"2S-Gişe Görevlisi-MYO")*(13.1*I21)
+COUNTIF($A$1,"2S-Gişe Görevlisi-Lise")*(13.1*I21)
+COUNTIF($A$1,"2S-Gişe Görevlisi-Ortaokul")*(13.1*I21)
+COUNTIF($A$1,"2S-Gişe Görevlisi-İlkokul")*(13.1*I21)
+COUNTIF($A$1,"2S-Terminal Görevlisi-Üniversite")*(13.1*I21)
+COUNTIF($A$1,"2S-Terminal Görevlisi-MYO")*(13.1*I21)
+COUNTIF($A$1,"2S-Terminal Görevlisi-Lise")*(13.1*I21)
+COUNTIF($A$1,"2S-Terminal Görevlisi-Ortaokul")*(13.1*I21)
+COUNTIF($A$1,"2S-Terminal Görevlisi-İlkokul")*(13.1*I21)
+COUNTIF($A$1,"2S-İskele Görevlisi-Üniversite")*(13.1*I21)
+COUNTIF($A$1,"2S-İskele Görevlisi-MYO")*(13.1*I21)
+COUNTIF($A$1,"2S-İskele Görevlisi-Lise")*(13.1*I21)
+COUNTIF($A$1,"2S-İskele Görevlisi-Ortaokul")*(13.1*I21)
+COUNTIF($A$1,"2S-İskele Görevlisi-İlkokul")*(13.1*I21)</f>
        <v>0</v>
      </c>
      <c r="BA6" s="21">
        <f ca="1">(BB6/CU24)</f>
        <v>0</v>
      </c>
      <c r="BB6" s="21">
        <f>COUNTIF($A$1,"Atölye-Formen")*(4.03*J21)
+COUNTIF($A$1,"Atölye-Teknisyen")*(4.03*J21)
+COUNTIF($A$1,"Atölye-Ustabaşı")*(4.03*J21)
+COUNTIF($A$1,"Atölye-Usta")*(4.03*J21)
+COUNTIF($A$1,"Atölye-İşçi")*(4.03*J21)</f>
        <v>0</v>
      </c>
      <c r="BC6" s="21">
        <f ca="1">(BD6/CU24)</f>
        <v>0</v>
      </c>
      <c r="BD6" s="21">
        <f>COUNTIF($A$1,"Atölye-Formen")*(5.35*K21)
+COUNTIF($A$1,"Atölye-Teknisyen")*(5.35*K21)
+COUNTIF($A$1,"Atölye-Ustabaşı")*(5.35*K21)
+COUNTIF($A$1,"Atölye-Usta")*(5.35*K21)
+COUNTIF($A$1,"Atölye-İşçi")*(5.35*K21)</f>
        <v>0</v>
      </c>
      <c r="BE6" s="21">
        <f ca="1">(BF6/CV24)</f>
        <v>0</v>
      </c>
      <c r="BF6" s="21">
        <f>COUNTIF($A$1,"2S-Gişe Sorumlusu-Üniversite")*(5.4*L21)
+COUNTIF($A$1,"2S-Gişe Sorumlusu-MYO")*(5.4*L21)
+COUNTIF($A$1,"2S-Gişe Sorumlusu-Lise")*(5.4*L21)
+COUNTIF($A$1,"2S-Gişe Sorumlusu-Ortaokul")*(5.4*L21)
+COUNTIF($A$1,"2S-Gişe Sorumlusu-İlkokul")*(5.4*L21)
+COUNTIF($A$1,"2S-Gişe Görevlisi-Üniversite")*(5.4*L21)
+COUNTIF($A$1,"2S-Gişe Görevlisi-MYO")*(5.4*L21)
+COUNTIF($A$1,"2S-Gişe Görevlisi-Lise")*(5.4*L21)
+COUNTIF($A$1,"2S-Gişe Görevlisi-Ortaokul")*(5.4*L21)
+COUNTIF($A$1,"2S-Gişe Görevlisi-İlkokul")*(5.4*L21)</f>
        <v>0</v>
      </c>
      <c r="BG6" s="21">
        <f ca="1">COUNTIF(BZ7,"Var")*(AO2*0.9*-1)</f>
        <v>-168.86751527686621</v>
      </c>
      <c r="BH6" s="21">
        <f ca="1">(BG6*-1)</f>
        <v>168.86751527686621</v>
      </c>
      <c r="BI6" s="29">
        <f ca="1">(BE8*P19+BJ6)*-1</f>
        <v>0</v>
      </c>
      <c r="BJ6" s="29">
        <f ca="1">(AW2+AY2+BA2-BF2)*(P19*-1)</f>
        <v>0</v>
      </c>
      <c r="BK6" s="29">
        <f ca="1">(BI6+BJ6)</f>
        <v>0</v>
      </c>
      <c r="BL6" s="21" t="s">
        <v>0</v>
      </c>
      <c r="BM6" s="21">
        <f>(5004)</f>
        <v>5004</v>
      </c>
      <c r="BN6" s="21">
        <f>(5004)</f>
        <v>5004</v>
      </c>
      <c r="BO6" s="21">
        <f>(BM6-BN6)</f>
        <v>0</v>
      </c>
      <c r="BP6" s="21">
        <f>(BO6*0.00759*-1)</f>
        <v>0</v>
      </c>
      <c r="BQ6" s="21">
        <f>(0)</f>
        <v>0</v>
      </c>
      <c r="BR6" s="21">
        <f>(BM6-BQ6)</f>
        <v>5004</v>
      </c>
      <c r="BS6" s="21">
        <f>(BR6*0.14*-1)</f>
        <v>-700.56000000000006</v>
      </c>
      <c r="BT6" s="21">
        <f>(BR6*0.01*-1)</f>
        <v>-50.04</v>
      </c>
      <c r="BU6" s="28" t="s">
        <v>67</v>
      </c>
      <c r="BV6" s="29">
        <v>4665.95</v>
      </c>
      <c r="BW6" s="29">
        <f t="shared" si="1"/>
        <v>0</v>
      </c>
      <c r="BX6" s="29">
        <f t="shared" si="2"/>
        <v>0</v>
      </c>
      <c r="BY6" s="29">
        <f t="shared" ca="1" si="3"/>
        <v>0</v>
      </c>
      <c r="BZ6" s="33" t="s">
        <v>11</v>
      </c>
      <c r="CO6" s="34">
        <v>0.35</v>
      </c>
      <c r="CP6" s="21">
        <f>$CQ$5</f>
        <v>250000</v>
      </c>
      <c r="CQ6" s="21">
        <v>880000</v>
      </c>
      <c r="CR6" s="21">
        <f>(CQ5-CP5)*CO5+CR5</f>
        <v>61000</v>
      </c>
      <c r="CS6" s="21">
        <f>(0)</f>
        <v>0</v>
      </c>
      <c r="CT6" s="21">
        <f>(BM4+BS4+BT4-CS6)</f>
        <v>4253.3999999999996</v>
      </c>
      <c r="CU6" s="21">
        <f>SUM(CT$3:$CT6)</f>
        <v>17013.599999999999</v>
      </c>
      <c r="CV6" s="30">
        <f t="shared" si="5"/>
        <v>0.15</v>
      </c>
      <c r="CW6" s="33">
        <f t="shared" si="15"/>
        <v>0</v>
      </c>
      <c r="CX6" s="35">
        <f>IF(CW6=0,CV6,(VLOOKUP($CV6,$CO$3:$CR$7,2,0)-CU5)/CT6*CV5+(CU6-VLOOKUP($CV6,$CO$3:$CR$7,2,0))/CT6*CV6)</f>
        <v>0.15</v>
      </c>
      <c r="CY6" s="21">
        <f t="shared" si="18"/>
        <v>638.01</v>
      </c>
      <c r="CZ6" s="35">
        <f t="shared" si="16"/>
        <v>0.84491000000000005</v>
      </c>
      <c r="DA6" s="21">
        <f>BM4</f>
        <v>5004</v>
      </c>
      <c r="DB6" s="21">
        <f>BM4+BP4+BS4+BT4</f>
        <v>4253.3999999999996</v>
      </c>
      <c r="DC6" s="27">
        <v>4</v>
      </c>
      <c r="DD6" s="31">
        <v>2</v>
      </c>
      <c r="DE6" s="32">
        <v>0.06</v>
      </c>
      <c r="DF6" s="42"/>
    </row>
    <row r="7" spans="1:110" ht="39.950000000000003" customHeight="1" x14ac:dyDescent="0.25">
      <c r="A7" s="68"/>
      <c r="B7" s="69"/>
      <c r="C7" s="61"/>
      <c r="D7" s="61"/>
      <c r="E7" s="70"/>
      <c r="F7" s="61"/>
      <c r="G7" s="61"/>
      <c r="H7" s="61"/>
      <c r="I7" s="61"/>
      <c r="J7" s="61"/>
      <c r="K7" s="61"/>
      <c r="L7" s="61"/>
      <c r="M7" s="61"/>
      <c r="N7" s="61"/>
      <c r="O7" s="61"/>
      <c r="P7" s="61"/>
      <c r="Q7" s="61"/>
      <c r="R7" s="61"/>
      <c r="S7" s="72"/>
      <c r="T7" s="44" t="s">
        <v>36</v>
      </c>
      <c r="U7" s="45">
        <f t="shared" si="17"/>
        <v>20434.199999999997</v>
      </c>
      <c r="V7" s="45">
        <f>COUNTIF(W1,"Ocak")*(BJ13)
+COUNTIF(W1,"Şubat")*(BJ14)
+COUNTIF(W1,"Mart")*(BJ15)
+COUNTIF(W1,"Nisan")*(BG22)
+COUNTIF(W1,"Mayıs")*(AO4)
+COUNTIF(W1,"Haziran")*(AO5)
+COUNTIF(W1,"Temmuz")*(AO6)
+COUNTIF(W1,"Ağustos")*(AO7)
+COUNTIF(W1,"Eylül")*(AV23)
+COUNTIF(W1,"Ekim")*(AZ24)
+COUNTIF(W1,"Kasım")*(AZ25)
+COUNTIF(W1,"Aralık")*(AZ26)
+COUNTIF(W1,"Yıllık Toplam")*(AZ27)
+COUNTIF(W1,"Yıllık Ortalama")*(AZ28)</f>
        <v>20434.199999999997</v>
      </c>
      <c r="W7" s="71"/>
      <c r="X7" s="65"/>
      <c r="Y7" s="49" t="s">
        <v>29</v>
      </c>
      <c r="Z7" s="50" t="s">
        <v>164</v>
      </c>
      <c r="AA7" s="54"/>
      <c r="AB7" s="55"/>
      <c r="AC7" s="57"/>
      <c r="AD7" s="56"/>
      <c r="AE7" s="20" t="s">
        <v>87</v>
      </c>
      <c r="AF7" s="21">
        <v>182.75</v>
      </c>
      <c r="AG7" s="21">
        <v>209.57</v>
      </c>
      <c r="AH7" s="21">
        <f ca="1">(AI7/CU25)</f>
        <v>895.28710161954768</v>
      </c>
      <c r="AI7" s="21">
        <f>(602/30*BT11)</f>
        <v>602</v>
      </c>
      <c r="AJ7" s="21">
        <f>(0)</f>
        <v>0</v>
      </c>
      <c r="AK7" s="21">
        <f>(0)</f>
        <v>0</v>
      </c>
      <c r="AL7" s="21">
        <f>(0)</f>
        <v>0</v>
      </c>
      <c r="AM7" s="26">
        <v>0</v>
      </c>
      <c r="AN7" s="21">
        <f ca="1">(AO7/CU25)</f>
        <v>0</v>
      </c>
      <c r="AO7" s="21">
        <f>(AR20*AM7)</f>
        <v>0</v>
      </c>
      <c r="AP7" s="26">
        <v>30</v>
      </c>
      <c r="AQ7" s="21">
        <f ca="1">(AR7/CU25)</f>
        <v>669.23454439999409</v>
      </c>
      <c r="AR7" s="21">
        <f>COUNTIF($A$1,"1S-Makine ve Elektrik Teknisyenleri-Üniversite")*(566.31/30*AP7)
+COUNTIF($A$1,"1S-Makine ve Elektrik Teknisyenleri-MYO")*(566.31/30*AP7)
+COUNTIF($A$1,"1S-Makine ve Elektrik Teknisyenleri-Lise")*(566.31/30*AP7)
+COUNTIF($A$1,"1S-Makine ve Elektrik Teknisyenleri-Ortaokul")*(566.31/30*AP7)
+COUNTIF($A$1,"1S-Makine ve Elektrik Teknisyenleri-İlkokul")*(566.31/30*AP7)
+COUNTIF($A$1,"1S-Yakıt Elemanı-Üniversite")*(566.31/30*AP7)
+COUNTIF($A$1,"1S-Yakıt Elemanı-MYO")*(566.31/30*AP7)
+COUNTIF($A$1,"1S-Yakıt Elemanı-Lise")*(566.31/30*AP7)
+COUNTIF($A$1,"1S-Yakıt Elemanı-Ortaokul")*(566.31/30*AP7)
+COUNTIF($A$1,"1S-Yakıt Elemanı-İlkokul")*(566.31/30*AP7)
+COUNTIF($A$1,"1S-Tanker Şoförü-Üniversite")*(566.31/30*AP7)
+COUNTIF($A$1,"1S-Tanker Şoförü-MYO")*(566.31/30*AP7)
+COUNTIF($A$1,"1S-Tanker Şoförü-Lise")*(566.31/30*AP7)
+COUNTIF($A$1,"1S-Tanker Şoförü-Ortaokul")*(566.31/30*AP7)
+COUNTIF($A$1,"1S-Tanker Şoförü-İlkokul")*(566.31/30*AP7)
+COUNTIF($A$1,"1S-Vinç Operatörü-Üniversite")*(566.31/30*AP7)
+COUNTIF($A$1,"1S-Vinç Operatörü-MYO")*(566.31/30*AP7)
+COUNTIF($A$1,"1S-Vinç Operatörü-Lise")*(566.31/30*AP7)
+COUNTIF($A$1,"1S-Vinç Operatörü-Ortaokul")*(566.31/30*AP7)
+COUNTIF($A$1,"1S-Vinç Operatörü-İlkokul")*(566.31/30*AP7)
+COUNTIF($A$1,"1S-Rampa Görevlisi-Üniversite")*(566.31/30*AP7)
+COUNTIF($A$1,"1S-Rampa Görevlisi-MYO")*(566.31/30*AP7)
+COUNTIF($A$1,"1S-Rampa Görevlisi-Lise")*(566.31/30*AP7)
+COUNTIF($A$1,"1S-Rampa Görevlisi-Ortaokul")*(566.31/30*AP7)
+COUNTIF($A$1,"1S-Rampa Görevlisi-İlkokul")*(566.31/30*AP7)
+COUNTIF($A$1,"1S-Yakıt Hizmetlisi-Üniversite")*(566.31/30*AP7)
+COUNTIF($A$1,"1S-Yakıt Hizmetlisi-MYO")*(566.31/30*AP7)
+COUNTIF($A$1,"1S-Yakıt Hizmetlisi-Lise")*(566.31/30*AP7)
+COUNTIF($A$1,"1S-Yakıt Hizmetlisi-Ortaokul")*(566.31/30*AP7)
+COUNTIF($A$1,"1S-Yakıt Hizmetlisi-İlkokul")*(566.31/30*AP7)
+COUNTIF($A$1,"2S-Rampa Görevlisi-Üniversite")*(450/30*AP7)
+COUNTIF($A$1,"2S-Rampa Görevlisi-MYO")*(450/30*AP7)
+COUNTIF($A$1,"2S-Rampa Görevlisi-Lise")*(450/30*AP7)
+COUNTIF($A$1,"2S-Rampa Görevlisi-Ortaokul")*(450/30*AP7)
+COUNTIF($A$1,"2S-Rampa Görevlisi-İlkokul")*(450/30*AP7)
+COUNTIF($A$1,"2S-Hizmetliler-Üniversite")*(450/30*AP7)
+COUNTIF($A$1,"2S-Hizmetliler-MYO")*(450/30*AP7)
+COUNTIF($A$1,"2S-Hizmetliler-Lise")*(450/30*AP7)
+COUNTIF($A$1,"2S-Hizmetliler-Ortaokul")*(450/30*AP7)
+COUNTIF($A$1,"2S-Hizmetliler-İlkokul")*(450/30*AP7)
+COUNTIF($A$1,"2S-Çaycı-Üniversite")*(450/30*AP7)
+COUNTIF($A$1,"2S-Çaycı-MYO")*(450/30*AP7)
+COUNTIF($A$1,"2S-Çaycı-Lise")*(450/30*AP7)
+COUNTIF($A$1,"2S-Çaycı-Ortaokul")*(450/30*AP7)
+COUNTIF($A$1,"2S-Çaycı-İlkokul")*(450/30*AP7)
+COUNTIF($A$1,"2S-Gişe Sorumlusu-Üniversite")*(450/30*AP7)
+COUNTIF($A$1,"2S-Gişe Sorumlusu-MYO")*(450/30*AP7)
+COUNTIF($A$1,"2S-Gişe Sorumlusu-Lise")*(450/30*AP7)
+COUNTIF($A$1,"2S-Gişe Sorumlusu-Ortaokul")*(450/30*AP7)
+COUNTIF($A$1,"2S-Gişe Sorumlusu-İlkokul")*(450/30*AP7)
+COUNTIF($A$1,"2S-Gişe Görevlisi-Üniversite")*(450/30*AP7)
+COUNTIF($A$1,"2S-Gişe Görevlisi-MYO")*(450/30*AP7)
+COUNTIF($A$1,"2S-Gişe Görevlisi-Lise")*(450/30*AP7)
+COUNTIF($A$1,"2S-Gişe Görevlisi-Ortaokul")*(450/30*AP7)
+COUNTIF($A$1,"2S-Gişe Görevlisi-İlkokul")*(450/30*AP7)
+COUNTIF($A$1,"2S-Terminal Görevlisi-Üniversite")*(450/30*AP7)
+COUNTIF($A$1,"2S-Terminal Görevlisi-MYO")*(450/30*AP7)
+COUNTIF($A$1,"2S-Terminal Görevlisi-Lise")*(450/30*AP7)
+COUNTIF($A$1,"2S-Terminal Görevlisi-Ortaokul")*(450/30*AP7)
+COUNTIF($A$1,"2S-Terminal Görevlisi-İlkokul")*(450/30*AP7)
+COUNTIF($A$1,"2S-İskele Görevlisi-Üniversite")*(450/30*AP7)
+COUNTIF($A$1,"2S-İskele Görevlisi-MYO")*(450/30*AP7)
+COUNTIF($A$1,"2S-İskele Görevlisi-Lise")*(450/30*AP7)
+COUNTIF($A$1,"2S-İskele Görevlisi-Ortaokul")*(450/30*AP7)
+COUNTIF($A$1,"2S-İskele Görevlisi-İlkokul")*(450/30*AP7)
+COUNTIF($A$1,"Atölye-Formen")*(450/30*AP7)
+COUNTIF($A$1,"Atölye-Teknisyen")*(450/30*AP7)
+COUNTIF($A$1,"Atölye-Ustabaşı")*(450/30*AP7)
+COUNTIF($A$1,"Atölye-Usta")*(450/30*AP7)
+COUNTIF($A$1,"Atölye-İşçi")*(450/30*AP7)</f>
        <v>450</v>
      </c>
      <c r="AS7" s="24">
        <f>COUNTIF(G22,"Yok")*(0)
+COUNTIF(G22,"Bakırköy")*(115.36/30*H22)
+COUNTIF(G22,"Bandırma")*(115.36/30*H22)
+COUNTIF(G22,"Bostancı")*(520.17/30*H22)
+COUNTIF(G22,"Bursa")*(520.17/30*H22)
+COUNTIF(G22,"Eskihisar")*(635.52/30*H22)
+COUNTIF(G22,"Harem")*(520.17/30*H22)
+COUNTIF(G22,"Kabataş")*(520.17/30*H22)
+COUNTIF(G22,"Kadıköy")*(520.17/30*H22)
+COUNTIF(G22,"Pendik")*(520.17/30*H22)
+COUNTIF(G22,"Sirkeci")*(520.17/30*H22)
+COUNTIF(G22,"Topçular")*(635.52/30*H22)
+COUNTIF(G22,"Yalova")*(635.52/30*H22)
+COUNTIF(G22,"Yenikapı")*(635.52/30*H22)</f>
        <v>0</v>
      </c>
      <c r="AT7" s="24">
        <f>COUNTIF(G22,"Yok")*(0)
+COUNTIF(G22,"Bakırköy")*(98.58/30*H22)
+COUNTIF(G22,"Bandırma")*(98.58/30*H22)
+COUNTIF(G22,"Beşiktaş")*(98.58/30*H22)
+COUNTIF(G22,"Bostancı")*(98.58/30*H22)
+COUNTIF(G22,"Bursa")*(98.58/30*H22)
+COUNTIF(G22,"Eskihisar")*(98.58/30*H22)
+COUNTIF(G22,"Harem")*(98.58/30*H22)
+COUNTIF(G22,"Kabataş")*(98.58/30*H22)
+COUNTIF(G22,"Kadıköy")*(98.58/30*H22)
+COUNTIF(G22,"Pendik")*(98.58/30*H22)
+COUNTIF(G22,"Sirkeci")*(98.58/30*H22)
+COUNTIF(G22,"Topçular")*(98.58/30*H22)
+COUNTIF(G22,"Yalova")*(98.58/30*H22)
+COUNTIF(G22,"Yenikapı")*(98.58/30*H22)</f>
        <v>0</v>
      </c>
      <c r="AU7" s="24">
        <f>COUNTIF(G22,"Yok")*(0)
+COUNTIF(G22,"Bakırköy")*(264.27/30*H22)
+COUNTIF(G22,"Bandırma")*(125.85/30*H22)
+COUNTIF(G22,"Beşiktaş")*(264.27/30*H22)
+COUNTIF(G22,"Bostancı")*(264.27/30*H22)
+COUNTIF(G22,"Bursa")*(402.7/30*H22)
+COUNTIF(G22,"Eskihisar")*(402.7/30*H22)
+COUNTIF(G22,"Harem")*(402.7/30*H22)
+COUNTIF(G22,"Kabataş")*(264.27/30*H22)
+COUNTIF(G22,"Kadıköy")*(264.27/30*H22)
+COUNTIF(G22,"Maltepe")*(125.85/30*H22)
+COUNTIF(G22,"Pendik")*(264.27/30*H22)
+COUNTIF(G22,"Sirkeci")*(402.7/30*H22)
+COUNTIF(G22,"Topçular")*(402.7/30*H22)
+COUNTIF(G22,"Yalova")*(402.7/30*H22)
+COUNTIF(G22,"Yenikapı")*(402.7/30*H22)</f>
        <v>0</v>
      </c>
      <c r="AV7" s="24">
        <f>COUNTIF(G22,"Yok")*(0)
+COUNTIF(G22,"Eskihisar")*(83.89/30*H22)
+COUNTIF(G22,"Harem")*(83.89/30*H22)
+COUNTIF(G22,"Sirkeci")*(83.89/30*H22)
+COUNTIF(G22,"Topçular")*(83.89/30*H22)</f>
        <v>0</v>
      </c>
      <c r="AW7" s="21">
        <f ca="1">(AX7/CU25)</f>
        <v>0</v>
      </c>
      <c r="AX7" s="21">
        <f>COUNTIF($A$1,"2S-Gişe Sorumlusu-Üniversite")*(AS7)
+COUNTIF($A$1,"2S-Gişe Sorumlusu-MYO")*(AS7)
+COUNTIF($A$1,"2S-Gişe Sorumlusu-Lise")*(AS7)
+COUNTIF($A$1,"2S-Gişe Sorumlusu-Ortaokul")*(AS7)
+COUNTIF($A$1,"2S-Gişe Sorumlusu-İlkokul")*(AS7)
+COUNTIF($A$1,"2S-Gişe Görevlisi-Üniversite")*(AT7)
+COUNTIF($A$1,"2S-Gişe Görevlisi-MYO")*(AT7)
+COUNTIF($A$1,"2S-Gişe Görevlisi-Lise")*(AT7)
+COUNTIF($A$1,"2S-Gişe Görevlisi-Ortaokul")*(AT7)
+COUNTIF($A$1,"2S-Gişe Görevlisi-İlkokul")*(AT7)
+COUNTIF($A$1,"2S-Terminal Görevlisi-Üniversite")*(AU7)
+COUNTIF($A$1,"2S-Terminal Görevlisi-MYO")*(AU7)
+COUNTIF($A$1,"2S-Terminal Görevlisi-Lise")*(AU7)
+COUNTIF($A$1,"2S-Terminal Görevlisi-Ortaokul")*(AU7)
+COUNTIF($A$1,"2S-Terminal Görevlisi-İlkokul")*(AU7)
+COUNTIF($A$1,"2S-İskele Görevlisi-Üniversite")*(AV7)
+COUNTIF($A$1,"2S-İskele Görevlisi-MYO")*(AV7)
+COUNTIF($A$1,"2S-İskele Görevlisi-Lise")*(AV7)
+COUNTIF($A$1,"2S-İskele Görevlisi-Ortaokul")*(AV7)
+COUNTIF($A$1,"2S-İskele Görevlisi-İlkokul")*(AV7)</f>
        <v>0</v>
      </c>
      <c r="AY7" s="21">
        <f ca="1">(AZ7/CU25)</f>
        <v>0</v>
      </c>
      <c r="AZ7" s="21">
        <f>COUNTIF($A$1,"2S-Gişe Sorumlusu-Üniversite")*(13.1*I22)
+COUNTIF($A$1,"2S-Gişe Sorumlusu-MYO")*(13.1*I22)
+COUNTIF($A$1,"2S-Gişe Sorumlusu-Lise")*(13.1*I22)
+COUNTIF($A$1,"2S-Gişe Sorumlusu-Ortaokul")*(13.1*I22)
+COUNTIF($A$1,"2S-Gişe Sorumlusu-İlkokul")*(13.1*I22)
+COUNTIF($A$1,"2S-Gişe Görevlisi-Üniversite")*(13.1*I22)
+COUNTIF($A$1,"2S-Gişe Görevlisi-MYO")*(13.1*I22)
+COUNTIF($A$1,"2S-Gişe Görevlisi-Lise")*(13.1*I22)
+COUNTIF($A$1,"2S-Gişe Görevlisi-Ortaokul")*(13.1*I22)
+COUNTIF($A$1,"2S-Gişe Görevlisi-İlkokul")*(13.1*I22)
+COUNTIF($A$1,"2S-Terminal Görevlisi-Üniversite")*(13.1*I22)
+COUNTIF($A$1,"2S-Terminal Görevlisi-MYO")*(13.1*I22)
+COUNTIF($A$1,"2S-Terminal Görevlisi-Lise")*(13.1*I22)
+COUNTIF($A$1,"2S-Terminal Görevlisi-Ortaokul")*(13.1*I22)
+COUNTIF($A$1,"2S-Terminal Görevlisi-İlkokul")*(13.1*I22)
+COUNTIF($A$1,"2S-İskele Görevlisi-Üniversite")*(13.1*I22)
+COUNTIF($A$1,"2S-İskele Görevlisi-MYO")*(13.1*I22)
+COUNTIF($A$1,"2S-İskele Görevlisi-Lise")*(13.1*I22)
+COUNTIF($A$1,"2S-İskele Görevlisi-Ortaokul")*(13.1*I22)
+COUNTIF($A$1,"2S-İskele Görevlisi-İlkokul")*(13.1*I22)</f>
        <v>0</v>
      </c>
      <c r="BA7" s="21">
        <f ca="1">(BB7/CU25)</f>
        <v>0</v>
      </c>
      <c r="BB7" s="21">
        <f>COUNTIF($A$1,"Atölye-Formen")*(4.03*J22)
+COUNTIF($A$1,"Atölye-Teknisyen")*(4.03*J22)
+COUNTIF($A$1,"Atölye-Ustabaşı")*(4.03*J22)
+COUNTIF($A$1,"Atölye-Usta")*(4.03*J22)
+COUNTIF($A$1,"Atölye-İşçi")*(4.03*J22)</f>
        <v>0</v>
      </c>
      <c r="BC7" s="21">
        <f ca="1">(BD7/CU25)</f>
        <v>0</v>
      </c>
      <c r="BD7" s="21">
        <f>COUNTIF($A$1,"Atölye-Formen")*(5.35*K22)
+COUNTIF($A$1,"Atölye-Teknisyen")*(5.35*K22)
+COUNTIF($A$1,"Atölye-Ustabaşı")*(5.35*K22)
+COUNTIF($A$1,"Atölye-Usta")*(5.35*K22)
+COUNTIF($A$1,"Atölye-İşçi")*(5.35*K22)</f>
        <v>0</v>
      </c>
      <c r="BE7" s="21">
        <f ca="1">(BF7/CV25)</f>
        <v>0</v>
      </c>
      <c r="BF7" s="21">
        <f>COUNTIF($A$1,"2S-Gişe Sorumlusu-Üniversite")*(5.4*L22)
+COUNTIF($A$1,"2S-Gişe Sorumlusu-MYO")*(5.4*L22)
+COUNTIF($A$1,"2S-Gişe Sorumlusu-Lise")*(5.4*L22)
+COUNTIF($A$1,"2S-Gişe Sorumlusu-Ortaokul")*(5.4*L22)
+COUNTIF($A$1,"2S-Gişe Sorumlusu-İlkokul")*(5.4*L22)
+COUNTIF($A$1,"2S-Gişe Görevlisi-Üniversite")*(5.4*L22)
+COUNTIF($A$1,"2S-Gişe Görevlisi-MYO")*(5.4*L22)
+COUNTIF($A$1,"2S-Gişe Görevlisi-Lise")*(5.4*L22)
+COUNTIF($A$1,"2S-Gişe Görevlisi-Ortaokul")*(5.4*L22)
+COUNTIF($A$1,"2S-Gişe Görevlisi-İlkokul")*(5.4*L22)</f>
        <v>0</v>
      </c>
      <c r="BG7" s="21">
        <f ca="1">COUNTIF(BZ8,"Var")*(AO3*0.9*-1)</f>
        <v>-169.94138873603907</v>
      </c>
      <c r="BH7" s="21">
        <f ca="1">(BG7*-1)</f>
        <v>169.94138873603907</v>
      </c>
      <c r="BI7" s="29">
        <f ca="1">(BE9*P20+BJ7)*-1</f>
        <v>0</v>
      </c>
      <c r="BJ7" s="29">
        <f ca="1">(AW3+AY3+BA3-BF3)*(P20*-1)</f>
        <v>0</v>
      </c>
      <c r="BK7" s="29">
        <f ca="1">(BI7+BJ7)</f>
        <v>0</v>
      </c>
      <c r="BL7" s="21" t="s">
        <v>0</v>
      </c>
      <c r="BM7" s="21">
        <f ca="1">(BL8*0.205)</f>
        <v>2220.09465</v>
      </c>
      <c r="BN7" s="21">
        <f ca="1">(BL8*0.01)</f>
        <v>108.29729999999999</v>
      </c>
      <c r="BO7" s="21">
        <f ca="1">(BL8*0.05*-1)</f>
        <v>-541.48649999999998</v>
      </c>
      <c r="BP7" s="21">
        <f ca="1">(BL8+BM7+BN7+BO7)</f>
        <v>12616.635449999998</v>
      </c>
      <c r="BQ7" s="24">
        <f>COUNTIF(G16,"Yok")*(0)
+COUNTIF(G16,"Bakırköy")*(98.58/30*H16)
+COUNTIF(G16,"Bandırma")*(98.58/30*H16)
+COUNTIF(G16,"Beşiktaş")*(98.58/30*H16)
+COUNTIF(G16,"Bostancı")*(98.58/30*H16)
+COUNTIF(G16,"Bursa")*(98.58/30*H16)
+COUNTIF(G16,"Eskihisar")*(98.58/30*H16)
+COUNTIF(G16,"Harem")*(98.58/30*H16)
+COUNTIF(G16,"Kabataş")*(98.58/30*H16)
+COUNTIF(G16,"Kadıköy")*(98.58/30*H16)
+COUNTIF(G16,"Pendik")*(98.58/30*H16)
+COUNTIF(G16,"Sirkeci")*(98.58/30*H16)
+COUNTIF(G16,"Topçular")*(98.58/30*H16)
+COUNTIF(G16,"Yalova")*(98.58/30*H16)
+COUNTIF(G16,"Yenikapı")*(98.58/30*H16)</f>
        <v>0</v>
      </c>
      <c r="BR7" s="24">
        <f>COUNTIF(G16,"Yok")*(0)
+COUNTIF(G16,"Bakırköy")*(264.27/30*H16)
+COUNTIF(G16,"Bandırma")*(125.85/30*H16)
+COUNTIF(G16,"Beşiktaş")*(264.27/30*H16)
+COUNTIF(G16,"Bostancı")*(264.27/30*H16)
+COUNTIF(G16,"Bursa")*(402.7/30*H16)
+COUNTIF(G16,"Eskihisar")*(402.7/30*H16)
+COUNTIF(G16,"Harem")*(402.7/30*H16)
+COUNTIF(G16,"Kabataş")*(264.27/30*H16)
+COUNTIF(G16,"Kadıköy")*(264.27/30*H16)
+COUNTIF(G16,"Maltepe")*(125.85/30*H16)
+COUNTIF(G16,"Pendik")*(264.27/30*H16)
+COUNTIF(G16,"Sirkeci")*(402.7/30*H16)
+COUNTIF(G16,"Topçular")*(402.7/30*H16)
+COUNTIF(G16,"Yalova")*(402.7/30*H16)
+COUNTIF(G16,"Yenikapı")*(402.7/30*H16)</f>
        <v>0</v>
      </c>
      <c r="BS7" s="24">
        <f>COUNTIF(G16,"Yok")*(0)
+COUNTIF(G16,"Eskihisar")*(83.89/30*H16)
+COUNTIF(G16,"Harem")*(83.89/30*H16)
+COUNTIF(G16,"Sirkeci")*(83.89/30*H16)
+COUNTIF(G16,"Topçular")*(83.89/30*H16)</f>
        <v>0</v>
      </c>
      <c r="BT7" s="26">
        <v>30</v>
      </c>
      <c r="BU7" s="28" t="s">
        <v>3</v>
      </c>
      <c r="BV7" s="29">
        <v>3733.38</v>
      </c>
      <c r="BW7" s="29">
        <f t="shared" si="1"/>
        <v>0</v>
      </c>
      <c r="BX7" s="29">
        <f t="shared" si="2"/>
        <v>0</v>
      </c>
      <c r="BY7" s="29">
        <f t="shared" ca="1" si="3"/>
        <v>0</v>
      </c>
      <c r="BZ7" s="33" t="s">
        <v>11</v>
      </c>
      <c r="CO7" s="34">
        <v>0.4</v>
      </c>
      <c r="CP7" s="36">
        <f>$CQ$6</f>
        <v>880000</v>
      </c>
      <c r="CQ7" s="21">
        <v>999999999</v>
      </c>
      <c r="CR7" s="21">
        <f>(CQ6-CP6)*CO6+CR6</f>
        <v>281500</v>
      </c>
      <c r="CS7" s="21">
        <f>(0)</f>
        <v>0</v>
      </c>
      <c r="CT7" s="21">
        <f>(BM5+BS5+BT5-CS7)</f>
        <v>4253.3999999999996</v>
      </c>
      <c r="CU7" s="21">
        <f>SUM(CT$3:$CT7)</f>
        <v>21267</v>
      </c>
      <c r="CV7" s="30">
        <f t="shared" si="5"/>
        <v>0.15</v>
      </c>
      <c r="CW7" s="33">
        <f t="shared" si="15"/>
        <v>0</v>
      </c>
      <c r="DC7" s="27">
        <v>5</v>
      </c>
      <c r="DD7" s="31">
        <v>2.5</v>
      </c>
      <c r="DE7" s="32">
        <v>7.0000000000000007E-2</v>
      </c>
      <c r="DF7" s="42"/>
    </row>
    <row r="8" spans="1:110" ht="39.950000000000003" customHeight="1" x14ac:dyDescent="0.25">
      <c r="A8" s="68"/>
      <c r="B8" s="69"/>
      <c r="C8" s="61"/>
      <c r="D8" s="61"/>
      <c r="E8" s="70"/>
      <c r="F8" s="61"/>
      <c r="G8" s="61"/>
      <c r="H8" s="61"/>
      <c r="I8" s="61"/>
      <c r="J8" s="61"/>
      <c r="K8" s="61"/>
      <c r="L8" s="61"/>
      <c r="M8" s="61"/>
      <c r="N8" s="61"/>
      <c r="O8" s="61"/>
      <c r="P8" s="61"/>
      <c r="Q8" s="61"/>
      <c r="R8" s="61"/>
      <c r="S8" s="72"/>
      <c r="T8" s="44" t="s">
        <v>9</v>
      </c>
      <c r="U8" s="45">
        <f t="shared" si="17"/>
        <v>4792.26</v>
      </c>
      <c r="V8" s="45">
        <f>COUNTIF(W1,"Ocak")*(BM13)
+COUNTIF(W1,"Şubat")*(BM14)
+COUNTIF(W1,"Mart")*(BM15)
+COUNTIF(W1,"Nisan")*(BJ22)
+COUNTIF(W1,"Mayıs")*(AR4)
+COUNTIF(W1,"Haziran")*(AR5)
+COUNTIF(W1,"Temmuz")*(AR6)
+COUNTIF(W1,"Ağustos")*(AR7)
+COUNTIF(W1,"Eylül")*(AY23)
+COUNTIF(W1,"Ekim")*(BC24)
+COUNTIF(W1,"Kasım")*(BO1)
+COUNTIF(W1,"Aralık")*(BO2)
+COUNTIF(W1,"Yıllık Toplam")*(AH25)
+COUNTIF(W1,"Yıllık Ortalama")*(AH26)</f>
        <v>4792.26</v>
      </c>
      <c r="W8" s="71"/>
      <c r="X8" s="65"/>
      <c r="Y8" s="49" t="s">
        <v>47</v>
      </c>
      <c r="Z8" s="51" t="s">
        <v>52</v>
      </c>
      <c r="AA8" s="54"/>
      <c r="AB8" s="55"/>
      <c r="AC8" s="57"/>
      <c r="AD8" s="56"/>
      <c r="AE8" s="20" t="s">
        <v>88</v>
      </c>
      <c r="AF8" s="21">
        <v>182.5</v>
      </c>
      <c r="AG8" s="21">
        <v>208.57</v>
      </c>
      <c r="AH8" s="21">
        <f>(BB19)</f>
        <v>840</v>
      </c>
      <c r="AI8" s="21">
        <f ca="1">ROUND((AH8+AJ8*-1+AM8*-1+AN8*-1+BK18*-1),2)</f>
        <v>1203.05</v>
      </c>
      <c r="AJ8" s="21">
        <f ca="1">(AI8*0.00759*-1)</f>
        <v>-9.1311494999999994</v>
      </c>
      <c r="AK8" s="21">
        <f>(12.94*F21)</f>
        <v>258.8</v>
      </c>
      <c r="AL8" s="21">
        <f ca="1">(AI8-AK8)</f>
        <v>944.25</v>
      </c>
      <c r="AM8" s="21">
        <f ca="1">(AL8*0.14*-1)</f>
        <v>-132.19500000000002</v>
      </c>
      <c r="AN8" s="21">
        <f ca="1">(AL8*0.01*-1)</f>
        <v>-9.4425000000000008</v>
      </c>
      <c r="AO8" s="35">
        <f>IF(CW7=0,CV7,(VLOOKUP($CV7,$CO$3:$CR$7,2,0)-CU6)/CT7*CV6+(CU7-VLOOKUP($CV7,$CO$3:$CR$7,2,0))/CT7*CV7)</f>
        <v>0.15</v>
      </c>
      <c r="AP8" s="21">
        <f>(ROUND(CT7*AO8,2))</f>
        <v>638.01</v>
      </c>
      <c r="AQ8" s="35">
        <f>(100+(100*0.00759*-1)+(100*0.01*-1)+(100*0.01*-1)+(100+100*0.14*-1+100*0.01*-1)*AO8*-1)/100</f>
        <v>0.84491000000000005</v>
      </c>
      <c r="AR8" s="21">
        <f>BM5</f>
        <v>5004</v>
      </c>
      <c r="AS8" s="21">
        <f>BM5+BP5+BS5+BT5</f>
        <v>4253.3999999999996</v>
      </c>
      <c r="AT8" s="21" t="s">
        <v>0</v>
      </c>
      <c r="AU8" s="21">
        <f ca="1">(AT2+AV2+AX2+AZ2+BB2+AI4+AO4+AR4+AX4+AZ4+BB4+BD4+BF4+BY7+BH6*CP22)</f>
        <v>6457.3643648529769</v>
      </c>
      <c r="AV8" s="21">
        <f ca="1">(ROUND((AU8+BA8+BF8+BG8+CS22),2))</f>
        <v>8412.06</v>
      </c>
      <c r="AW8" s="21">
        <f ca="1">(ROUND(AV8*0.00759,2))</f>
        <v>63.85</v>
      </c>
      <c r="AX8" s="21">
        <f>(BN5)</f>
        <v>5004</v>
      </c>
      <c r="AY8" s="21">
        <f>(AX8*0.00759)</f>
        <v>37.980360000000005</v>
      </c>
      <c r="AZ8" s="21">
        <f ca="1">(AV8-AX8)</f>
        <v>3408.0599999999995</v>
      </c>
      <c r="BA8" s="21">
        <f ca="1">(ROUND(AZ8*0.00759,2))</f>
        <v>25.87</v>
      </c>
      <c r="BB8" s="21">
        <f ca="1">(BA8)</f>
        <v>25.87</v>
      </c>
      <c r="BC8" s="21">
        <f ca="1">(BF2+AK4+BL16+BX7)</f>
        <v>200.2</v>
      </c>
      <c r="BD8" s="21">
        <f ca="1">(AV8-BC8)</f>
        <v>8211.8599999999988</v>
      </c>
      <c r="BE8" s="21">
        <f ca="1">IF(BD8&gt;=BM5*7.5,BM5*7.5,BD8)</f>
        <v>8211.8599999999988</v>
      </c>
      <c r="BF8" s="21">
        <f ca="1">(ROUND(IF(BE8&gt;BM5*7.5,BM5*7.5*0.14,BE8*0.14),2))</f>
        <v>1149.6600000000001</v>
      </c>
      <c r="BG8" s="21">
        <f ca="1">(ROUND(IF(BE8&gt;BM5*7.5,BM5*7.5*0.01,BE8*0.01),2))</f>
        <v>82.12</v>
      </c>
      <c r="BH8" s="21">
        <f ca="1">(CQ27-CR27)</f>
        <v>1334.78</v>
      </c>
      <c r="BI8" s="35">
        <f t="shared" ref="BI8:CT26" si="19">(100+(100*0.00759*-1)+(100*0.14*-1)+(100*0.01*-1))/100</f>
        <v>0.84240999999999999</v>
      </c>
      <c r="BJ8" s="35">
        <f ca="1">(100+(100*0.00759*-1)+(100*0.14*-1)+(100*0.01*-1)+(100+100*0.14*-1+100*0.01*-1)*CP27*-1)/100</f>
        <v>0.61290999999999995</v>
      </c>
      <c r="BK8" s="35">
        <f ca="1">(100+(100*0.00759*-1)+(100)*CP27*-1)/100</f>
        <v>0.72241</v>
      </c>
      <c r="BL8" s="21">
        <f ca="1">(BY24)</f>
        <v>10829.73</v>
      </c>
      <c r="BM8" s="21">
        <f ca="1">(BL9*0.205)</f>
        <v>2156.19</v>
      </c>
      <c r="BN8" s="21">
        <f ca="1">(BL9*0.01)</f>
        <v>105.18</v>
      </c>
      <c r="BO8" s="21">
        <f ca="1">(BL9*0.05*-1)</f>
        <v>-525.9</v>
      </c>
      <c r="BP8" s="21">
        <f ca="1">(BL9+BM8+BN8+BO8)</f>
        <v>12253.470000000001</v>
      </c>
      <c r="BQ8" s="24">
        <f>COUNTIF(G17,"Yok")*(0)
+COUNTIF(G17,"Bakırköy")*(98.58/30*H17)
+COUNTIF(G17,"Bandırma")*(98.58/30*H17)
+COUNTIF(G17,"Beşiktaş")*(98.58/30*H17)
+COUNTIF(G17,"Bostancı")*(98.58/30*H17)
+COUNTIF(G17,"Bursa")*(98.58/30*H17)
+COUNTIF(G17,"Eskihisar")*(98.58/30*H17)
+COUNTIF(G17,"Harem")*(98.58/30*H17)
+COUNTIF(G17,"Kabataş")*(98.58/30*H17)
+COUNTIF(G17,"Kadıköy")*(98.58/30*H17)
+COUNTIF(G17,"Pendik")*(98.58/30*H17)
+COUNTIF(G17,"Sirkeci")*(98.58/30*H17)
+COUNTIF(G17,"Topçular")*(98.58/30*H17)
+COUNTIF(G17,"Yalova")*(98.58/30*H17)
+COUNTIF(G17,"Yenikapı")*(98.58/30*H17)</f>
        <v>0</v>
      </c>
      <c r="BR8" s="24">
        <f>COUNTIF(G17,"Yok")*(0)
+COUNTIF(G17,"Bakırköy")*(264.27/30*H17)
+COUNTIF(G17,"Bandırma")*(125.85/30*H17)
+COUNTIF(G17,"Beşiktaş")*(264.27/30*H17)
+COUNTIF(G17,"Bostancı")*(264.27/30*H17)
+COUNTIF(G17,"Bursa")*(402.7/30*H17)
+COUNTIF(G17,"Eskihisar")*(402.7/30*H17)
+COUNTIF(G17,"Harem")*(402.7/30*H17)
+COUNTIF(G17,"Kabataş")*(264.27/30*H17)
+COUNTIF(G17,"Kadıköy")*(264.27/30*H17)
+COUNTIF(G17,"Maltepe")*(125.85/30*H17)
+COUNTIF(G17,"Pendik")*(264.27/30*H17)
+COUNTIF(G17,"Sirkeci")*(402.7/30*H17)
+COUNTIF(G17,"Topçular")*(402.7/30*H17)
+COUNTIF(G17,"Yalova")*(402.7/30*H17)
+COUNTIF(G17,"Yenikapı")*(402.7/30*H17)</f>
        <v>0</v>
      </c>
      <c r="BS8" s="24">
        <f>COUNTIF(G17,"Yok")*(0)
+COUNTIF(G17,"Eskihisar")*(83.89/30*H17)
+COUNTIF(G17,"Harem")*(83.89/30*H17)
+COUNTIF(G17,"Sirkeci")*(83.89/30*H17)
+COUNTIF(G17,"Topçular")*(83.89/30*H17)</f>
        <v>0</v>
      </c>
      <c r="BT8" s="26">
        <v>30</v>
      </c>
      <c r="BU8" s="28" t="s">
        <v>70</v>
      </c>
      <c r="BV8" s="29">
        <v>835.42</v>
      </c>
      <c r="BW8" s="29">
        <f t="shared" si="1"/>
        <v>0</v>
      </c>
      <c r="BX8" s="29">
        <f t="shared" si="2"/>
        <v>0</v>
      </c>
      <c r="BY8" s="29">
        <f t="shared" ca="1" si="3"/>
        <v>0</v>
      </c>
      <c r="BZ8" s="33" t="s">
        <v>11</v>
      </c>
      <c r="CO8" s="21" t="s">
        <v>0</v>
      </c>
      <c r="CP8" s="21" t="s">
        <v>0</v>
      </c>
      <c r="CQ8" s="21" t="s">
        <v>0</v>
      </c>
      <c r="CR8" s="21" t="s">
        <v>0</v>
      </c>
      <c r="CS8" s="21">
        <f>(0)</f>
        <v>0</v>
      </c>
      <c r="CT8" s="21">
        <f>(BM6+BS6+BT6-CS8)</f>
        <v>4253.3999999999996</v>
      </c>
      <c r="CU8" s="21">
        <f>SUM(CT$3:$CT8)</f>
        <v>25520.400000000001</v>
      </c>
      <c r="CV8" s="30">
        <f t="shared" si="5"/>
        <v>0.15</v>
      </c>
      <c r="CW8" s="33">
        <f t="shared" si="15"/>
        <v>0</v>
      </c>
      <c r="DC8" s="27">
        <v>6</v>
      </c>
      <c r="DD8" s="31">
        <v>3</v>
      </c>
      <c r="DE8" s="32">
        <v>0.08</v>
      </c>
      <c r="DF8" s="42"/>
    </row>
    <row r="9" spans="1:110" ht="39.950000000000003" customHeight="1" x14ac:dyDescent="0.25">
      <c r="A9" s="68"/>
      <c r="B9" s="69"/>
      <c r="C9" s="61"/>
      <c r="D9" s="61"/>
      <c r="E9" s="70"/>
      <c r="F9" s="61"/>
      <c r="G9" s="61"/>
      <c r="H9" s="61"/>
      <c r="I9" s="61"/>
      <c r="J9" s="61"/>
      <c r="K9" s="61"/>
      <c r="L9" s="61"/>
      <c r="M9" s="61"/>
      <c r="N9" s="61"/>
      <c r="O9" s="61"/>
      <c r="P9" s="61"/>
      <c r="Q9" s="61"/>
      <c r="R9" s="61"/>
      <c r="S9" s="72"/>
      <c r="T9" s="44" t="s">
        <v>158</v>
      </c>
      <c r="U9" s="45">
        <f t="shared" ref="U9:U11" si="20">IF(V9&gt;0,V9,V9*-1)</f>
        <v>0</v>
      </c>
      <c r="V9" s="45">
        <f>COUNTIF(W1,"Ocak")*(BQ10)
+COUNTIF(W1,"Şubat")*(BC25)
+COUNTIF(W1,"Mart")*(BC26)
+COUNTIF(W1,"Nisan")*(BC27)
+COUNTIF(W1,"Mayıs")*(AX4)
+COUNTIF(W1,"Haziran")*(AX5)
+COUNTIF(W1,"Temmuz")*(AX6)
+COUNTIF(W1,"Ağustos")*(AX7)
+COUNTIF(W1,"Eylül")*(BE23)
+COUNTIF(W1,"Ekim")*(BI24)
+COUNTIF(W1,"Kasım")*(AS16)
+COUNTIF(W1,"Aralık")*(AS17)
+COUNTIF(W1,"Yıllık Toplam")*(AI22)
+COUNTIF(W1,"Yıllık Ortalama")*(AI23)</f>
        <v>0</v>
      </c>
      <c r="W9" s="71"/>
      <c r="X9" s="65"/>
      <c r="Y9" s="49" t="s">
        <v>42</v>
      </c>
      <c r="Z9" s="50" t="s">
        <v>165</v>
      </c>
      <c r="AA9" s="54"/>
      <c r="AB9" s="55"/>
      <c r="AC9" s="57"/>
      <c r="AD9" s="56"/>
      <c r="AE9" s="20" t="s">
        <v>89</v>
      </c>
      <c r="AF9" s="21">
        <v>182.25</v>
      </c>
      <c r="AG9" s="21">
        <v>207.57</v>
      </c>
      <c r="AH9" s="21">
        <f>(BB20)</f>
        <v>840</v>
      </c>
      <c r="AI9" s="21">
        <f ca="1">ROUND((AH9+AJ9*-1+AM9*-1+AN9*-1+BK19*-1),2)</f>
        <v>1203.05</v>
      </c>
      <c r="AJ9" s="21">
        <f ca="1">(AI9*0.00759*-1)</f>
        <v>-9.1311494999999994</v>
      </c>
      <c r="AK9" s="21">
        <f>(12.94*F22)</f>
        <v>258.8</v>
      </c>
      <c r="AL9" s="21">
        <f ca="1">(AI9-AK9)</f>
        <v>944.25</v>
      </c>
      <c r="AM9" s="21">
        <f ca="1">(AL9*0.14*-1)</f>
        <v>-132.19500000000002</v>
      </c>
      <c r="AN9" s="21">
        <f ca="1">(AL9*0.01*-1)</f>
        <v>-9.4425000000000008</v>
      </c>
      <c r="AO9" s="35">
        <f>IF(CW8=0,CV8,(VLOOKUP($CV8,$CO$3:$CR$7,2,0)-CU7)/CT8*CV7+(CU8-VLOOKUP($CV8,$CO$3:$CR$7,2,0))/CT8*CV8)</f>
        <v>0.15</v>
      </c>
      <c r="AP9" s="21">
        <f>(ROUND(CT8*AO9,2))</f>
        <v>638.01</v>
      </c>
      <c r="AQ9" s="35">
        <f>(100+(100*0.00759*-1)+(100*0.01*-1)+(100*0.01*-1)+(100+100*0.14*-1+100*0.01*-1)*AO9*-1)/100</f>
        <v>0.84491000000000005</v>
      </c>
      <c r="AR9" s="21">
        <f>BM6</f>
        <v>5004</v>
      </c>
      <c r="AS9" s="21">
        <f>BM6+BP6+BS6+BT6</f>
        <v>4253.3999999999996</v>
      </c>
      <c r="AT9" s="21" t="s">
        <v>0</v>
      </c>
      <c r="AU9" s="21">
        <f ca="1">(AT3+AV3+AX3+AZ3+BB3+AI5+AO5+AR5+AX5+AZ5+BB5+BD5+BF5+BY8+BH7*CP23)</f>
        <v>10794.698277747208</v>
      </c>
      <c r="AV9" s="21">
        <f ca="1">(ROUND((AU9+BA9+BF9+BG9+CS23),2))</f>
        <v>14962.14</v>
      </c>
      <c r="AW9" s="21">
        <f ca="1">(ROUND(AV9*0.00759,2))</f>
        <v>113.56</v>
      </c>
      <c r="AX9" s="21">
        <f>(BN6)</f>
        <v>5004</v>
      </c>
      <c r="AY9" s="21">
        <f>(AX9*0.00759)</f>
        <v>37.980360000000005</v>
      </c>
      <c r="AZ9" s="21">
        <f ca="1">(AV9-AX9)</f>
        <v>9958.14</v>
      </c>
      <c r="BA9" s="21">
        <f ca="1">(ROUND(AZ9*0.00759,2))</f>
        <v>75.58</v>
      </c>
      <c r="BB9" s="21">
        <f ca="1">(BA9)</f>
        <v>75.58</v>
      </c>
      <c r="BC9" s="21">
        <f ca="1">(BF3+AK5+BL17+BX8)</f>
        <v>200.2</v>
      </c>
      <c r="BD9" s="21">
        <f ca="1">(AV9-BC9)</f>
        <v>14761.939999999999</v>
      </c>
      <c r="BE9" s="21">
        <f ca="1">IF(BD9&gt;=BM6*7.5,BM6*7.5,BD9)</f>
        <v>14761.939999999999</v>
      </c>
      <c r="BF9" s="21">
        <f ca="1">(ROUND(IF(BE9&gt;BM6*7.5,BM6*7.5*0.14,BE9*0.14),2))</f>
        <v>2066.67</v>
      </c>
      <c r="BG9" s="21">
        <f ca="1">(ROUND(IF(BE9&gt;BM6*7.5,BM6*7.5*0.01,BE9*0.01),2))</f>
        <v>147.62</v>
      </c>
      <c r="BH9" s="21">
        <f ca="1">(CQ28-CR28)</f>
        <v>1263.7300000000002</v>
      </c>
      <c r="BI9" s="35">
        <f t="shared" si="19"/>
        <v>0.84240999999999999</v>
      </c>
      <c r="BJ9" s="35">
        <f ca="1">(100+(100*0.00759*-1)+(100*0.14*-1)+(100*0.01*-1)+(100+100*0.14*-1+100*0.01*-1)*CP28*-1)/100</f>
        <v>0.61290999999999995</v>
      </c>
      <c r="BK9" s="35">
        <f ca="1">(100+(100*0.00759*-1)+(100)*CP28*-1)/100</f>
        <v>0.72241</v>
      </c>
      <c r="BL9" s="21">
        <f ca="1">(BY25)</f>
        <v>10518</v>
      </c>
      <c r="BM9" s="21">
        <f ca="1">(BL10*0.205)</f>
        <v>4137.3120499999995</v>
      </c>
      <c r="BN9" s="21">
        <f ca="1">(BL10*0.01)</f>
        <v>201.8201</v>
      </c>
      <c r="BO9" s="21">
        <f ca="1">(BL10*0.05*-1)</f>
        <v>-1009.1005</v>
      </c>
      <c r="BP9" s="21">
        <f ca="1">(BL10+BM9+BN9+BO9)</f>
        <v>23512.041649999999</v>
      </c>
      <c r="BQ9" s="24">
        <f>COUNTIF(G18,"Yok")*(0)
+COUNTIF(G18,"Bakırköy")*(98.58/30*H18)
+COUNTIF(G18,"Bandırma")*(98.58/30*H18)
+COUNTIF(G18,"Beşiktaş")*(98.58/30*H18)
+COUNTIF(G18,"Bostancı")*(98.58/30*H18)
+COUNTIF(G18,"Bursa")*(98.58/30*H18)
+COUNTIF(G18,"Eskihisar")*(98.58/30*H18)
+COUNTIF(G18,"Harem")*(98.58/30*H18)
+COUNTIF(G18,"Kabataş")*(98.58/30*H18)
+COUNTIF(G18,"Kadıköy")*(98.58/30*H18)
+COUNTIF(G18,"Pendik")*(98.58/30*H18)
+COUNTIF(G18,"Sirkeci")*(98.58/30*H18)
+COUNTIF(G18,"Topçular")*(98.58/30*H18)
+COUNTIF(G18,"Yalova")*(98.58/30*H18)
+COUNTIF(G18,"Yenikapı")*(98.58/30*H18)</f>
        <v>0</v>
      </c>
      <c r="BR9" s="24">
        <f>COUNTIF(G18,"Yok")*(0)
+COUNTIF(G18,"Bakırköy")*(264.27/30*H18)
+COUNTIF(G18,"Bandırma")*(125.85/30*H18)
+COUNTIF(G18,"Beşiktaş")*(264.27/30*H18)
+COUNTIF(G18,"Bostancı")*(264.27/30*H18)
+COUNTIF(G18,"Bursa")*(402.7/30*H18)
+COUNTIF(G18,"Eskihisar")*(402.7/30*H18)
+COUNTIF(G18,"Harem")*(402.7/30*H18)
+COUNTIF(G18,"Kabataş")*(264.27/30*H18)
+COUNTIF(G18,"Kadıköy")*(264.27/30*H18)
+COUNTIF(G18,"Maltepe")*(125.85/30*H18)
+COUNTIF(G18,"Pendik")*(264.27/30*H18)
+COUNTIF(G18,"Sirkeci")*(402.7/30*H18)
+COUNTIF(G18,"Topçular")*(402.7/30*H18)
+COUNTIF(G18,"Yalova")*(402.7/30*H18)
+COUNTIF(G18,"Yenikapı")*(402.7/30*H18)</f>
        <v>0</v>
      </c>
      <c r="BS9" s="24">
        <f>COUNTIF(G18,"Yok")*(0)
+COUNTIF(G18,"Eskihisar")*(83.89/30*H18)
+COUNTIF(G18,"Harem")*(83.89/30*H18)
+COUNTIF(G18,"Sirkeci")*(83.89/30*H18)
+COUNTIF(G18,"Topçular")*(83.89/30*H18)</f>
        <v>0</v>
      </c>
      <c r="BT9" s="26">
        <v>30</v>
      </c>
      <c r="BU9" s="28" t="s">
        <v>71</v>
      </c>
      <c r="BV9" s="29">
        <v>835.42</v>
      </c>
      <c r="BW9" s="29">
        <f t="shared" si="1"/>
        <v>0</v>
      </c>
      <c r="BX9" s="29">
        <f t="shared" si="2"/>
        <v>0</v>
      </c>
      <c r="BY9" s="29">
        <f t="shared" ca="1" si="3"/>
        <v>0</v>
      </c>
      <c r="BZ9" s="33" t="s">
        <v>11</v>
      </c>
      <c r="CA9" s="21">
        <f ca="1">COUNTIF(BZ9,"Var")*(AO16*0.9*-1)</f>
        <v>-217.99797641703816</v>
      </c>
      <c r="CB9" s="21">
        <f t="shared" ca="1" si="8"/>
        <v>217.99797641703816</v>
      </c>
      <c r="CC9" s="29">
        <f ca="1">(BE10*P21+CD9)*-1</f>
        <v>0</v>
      </c>
      <c r="CD9" s="29">
        <f ca="1">(AW19+AY19+BA19-AK8)*(P21*-1)</f>
        <v>0</v>
      </c>
      <c r="CE9" s="29">
        <f t="shared" ca="1" si="9"/>
        <v>0</v>
      </c>
      <c r="CF9" s="21" t="s">
        <v>0</v>
      </c>
      <c r="CG9" s="21">
        <f>(6471)</f>
        <v>6471</v>
      </c>
      <c r="CH9" s="21">
        <f>(6471)</f>
        <v>6471</v>
      </c>
      <c r="CI9" s="21">
        <f t="shared" si="10"/>
        <v>0</v>
      </c>
      <c r="CJ9" s="21">
        <f t="shared" si="11"/>
        <v>0</v>
      </c>
      <c r="CK9" s="21">
        <f>(0)</f>
        <v>0</v>
      </c>
      <c r="CL9" s="21">
        <f t="shared" si="12"/>
        <v>6471</v>
      </c>
      <c r="CM9" s="21">
        <f t="shared" si="13"/>
        <v>-905.94</v>
      </c>
      <c r="CN9" s="21">
        <f t="shared" si="14"/>
        <v>-64.710000000000008</v>
      </c>
      <c r="CO9" s="21" t="s">
        <v>0</v>
      </c>
      <c r="CP9" s="21" t="s">
        <v>0</v>
      </c>
      <c r="CQ9" s="21" t="s">
        <v>0</v>
      </c>
      <c r="CR9" s="21" t="s">
        <v>0</v>
      </c>
      <c r="CS9" s="21">
        <f>(0)</f>
        <v>0</v>
      </c>
      <c r="CT9" s="21">
        <f t="shared" si="4"/>
        <v>5500.3499999999995</v>
      </c>
      <c r="CU9" s="21">
        <f>SUM(CT$3:$CT9)</f>
        <v>31020.75</v>
      </c>
      <c r="CV9" s="30">
        <f t="shared" si="5"/>
        <v>0.15</v>
      </c>
      <c r="CW9" s="33">
        <f t="shared" si="15"/>
        <v>0</v>
      </c>
      <c r="DC9" s="27">
        <v>7</v>
      </c>
      <c r="DD9" s="31">
        <v>3.5</v>
      </c>
      <c r="DE9" s="32">
        <v>0.09</v>
      </c>
      <c r="DF9" s="42"/>
    </row>
    <row r="10" spans="1:110" ht="39.950000000000003" customHeight="1" x14ac:dyDescent="0.25">
      <c r="A10" s="68"/>
      <c r="B10" s="69"/>
      <c r="C10" s="61"/>
      <c r="D10" s="61"/>
      <c r="E10" s="70"/>
      <c r="F10" s="61"/>
      <c r="G10" s="61"/>
      <c r="H10" s="61"/>
      <c r="I10" s="61"/>
      <c r="J10" s="61"/>
      <c r="K10" s="61"/>
      <c r="L10" s="61"/>
      <c r="M10" s="61"/>
      <c r="N10" s="61"/>
      <c r="O10" s="61"/>
      <c r="P10" s="61"/>
      <c r="Q10" s="61"/>
      <c r="R10" s="61"/>
      <c r="S10" s="72"/>
      <c r="T10" s="44" t="s">
        <v>159</v>
      </c>
      <c r="U10" s="45">
        <f t="shared" si="20"/>
        <v>0</v>
      </c>
      <c r="V10" s="45">
        <f>COUNTIF(W1,"Ocak")*(BO13)
+COUNTIF(W1,"Şubat")*(BE25)
+COUNTIF(W1,"Mart")*(BE26)
+COUNTIF(W1,"Nisan")*(BE27)
+COUNTIF(W1,"Mayıs")*(AZ4)
+COUNTIF(W1,"Haziran")*(AZ5)
+COUNTIF(W1,"Temmuz")*(AZ6)
+COUNTIF(W1,"Ağustos")*(AZ7)
+COUNTIF(W1,"Eylül")*(BG23)
+COUNTIF(W1,"Ekim")*(BK24)
+COUNTIF(W1,"Kasım")*(AU16)
+COUNTIF(W1,"Aralık")*(AU17)
+COUNTIF(W1,"Yıllık Toplam")*(AK22)
+COUNTIF(W1,"Yıllık Ortalama")*(AK23)</f>
        <v>0</v>
      </c>
      <c r="W10" s="71"/>
      <c r="X10" s="65"/>
      <c r="Y10" s="49" t="s">
        <v>48</v>
      </c>
      <c r="Z10" s="51" t="s">
        <v>53</v>
      </c>
      <c r="AA10" s="54"/>
      <c r="AB10" s="55"/>
      <c r="AC10" s="57"/>
      <c r="AD10" s="56"/>
      <c r="AE10" s="20" t="s">
        <v>90</v>
      </c>
      <c r="AF10" s="21">
        <v>182</v>
      </c>
      <c r="AG10" s="21">
        <v>206.57</v>
      </c>
      <c r="AH10" s="21">
        <f>(BB21)</f>
        <v>840</v>
      </c>
      <c r="AI10" s="21">
        <f ca="1">ROUND((AH10+AJ10*-1+AM10*-1+AN10*-1+BK20*-1),2)</f>
        <v>1301.03</v>
      </c>
      <c r="AJ10" s="21">
        <f ca="1">(AI10*0.00759*-1)</f>
        <v>-9.8748176999999995</v>
      </c>
      <c r="AK10" s="21">
        <f>(12.94*F23)</f>
        <v>258.8</v>
      </c>
      <c r="AL10" s="21">
        <f ca="1">(AI10-AK10)</f>
        <v>1042.23</v>
      </c>
      <c r="AM10" s="21">
        <f ca="1">(AL10*0.14*-1)</f>
        <v>-145.91220000000001</v>
      </c>
      <c r="AN10" s="21">
        <f ca="1">(AL10*0.01*-1)</f>
        <v>-10.4223</v>
      </c>
      <c r="AO10" s="35">
        <f>IF(CW9=0,CV9,(VLOOKUP($CV9,$CO$3:$CR$7,2,0)-CU8)/CT9*CV8+(CU9-VLOOKUP($CV9,$CO$3:$CR$7,2,0))/CT9*CV9)</f>
        <v>0.15</v>
      </c>
      <c r="AP10" s="21">
        <f>(ROUND(CT9*AO10,2))</f>
        <v>825.05</v>
      </c>
      <c r="AQ10" s="35">
        <f>(100+(100*0.00759*-1)+(100*0.01*-1)+(100*0.01*-1)+(100+100*0.14*-1+100*0.01*-1)*AO10*-1)/100</f>
        <v>0.84491000000000005</v>
      </c>
      <c r="AR10" s="21">
        <f>CG9</f>
        <v>6471</v>
      </c>
      <c r="AS10" s="21">
        <f>CG9+CJ9+CM9+CN9</f>
        <v>5500.3499999999995</v>
      </c>
      <c r="AT10" s="21" t="s">
        <v>0</v>
      </c>
      <c r="AU10" s="21">
        <f ca="1">(AT19+AV19+AX19+AZ19+BB19+AI6+AO6+AR6+AX6+AZ6+BB6+BD6+BF6+BY9+CB9*CP24)</f>
        <v>7858.7695952834074</v>
      </c>
      <c r="AV10" s="21">
        <f ca="1">(ROUND((AU10+BA10+BF10+BG10+CS24),2))</f>
        <v>10276.39</v>
      </c>
      <c r="AW10" s="21">
        <f ca="1">(ROUND(AV10*0.00759,2))</f>
        <v>78</v>
      </c>
      <c r="AX10" s="21">
        <f>(CH9)</f>
        <v>6471</v>
      </c>
      <c r="AY10" s="21">
        <f>(AX10*0.00759)</f>
        <v>49.114890000000003</v>
      </c>
      <c r="AZ10" s="21">
        <f ca="1">(AV10-AX10)</f>
        <v>3805.3899999999994</v>
      </c>
      <c r="BA10" s="21">
        <f ca="1">(ROUND(AZ10*0.00759,2))</f>
        <v>28.88</v>
      </c>
      <c r="BB10" s="21">
        <f ca="1">(BA10)</f>
        <v>28.88</v>
      </c>
      <c r="BC10" s="21">
        <f ca="1">(AK8+AK6+BL18+BX9)</f>
        <v>258.8</v>
      </c>
      <c r="BD10" s="21">
        <f ca="1">(AV10-BC10)</f>
        <v>10017.59</v>
      </c>
      <c r="BE10" s="21">
        <f ca="1">IF(BD10&gt;=CG9*7.5,CG9*7.5,BD10)</f>
        <v>10017.59</v>
      </c>
      <c r="BF10" s="21">
        <f ca="1">(ROUND(IF(BE10&gt;CG9*7.5,CG9*7.5*0.14,BE10*0.14),2))</f>
        <v>1402.46</v>
      </c>
      <c r="BG10" s="21">
        <f ca="1">(ROUND(IF(BE10&gt;CG9*7.5,CG9*7.5*0.01,BE10*0.01),2))</f>
        <v>100.18</v>
      </c>
      <c r="BH10" s="21">
        <f ca="1">(CQ29-CR29)</f>
        <v>3481.13</v>
      </c>
      <c r="BI10" s="35">
        <f t="shared" si="19"/>
        <v>0.84240999999999999</v>
      </c>
      <c r="BJ10" s="35">
        <f ca="1">(100+(100*0.00759*-1)+(100*0.14*-1)+(100*0.01*-1)+(100+100*0.14*-1+100*0.01*-1)*CP29*-1)/100</f>
        <v>0.61290999999999995</v>
      </c>
      <c r="BK10" s="35">
        <f ca="1">(100+(100*0.00759*-1)+(100)*CP29*-1)/100</f>
        <v>0.72241</v>
      </c>
      <c r="BL10" s="21">
        <f ca="1">(BY26)</f>
        <v>20182.009999999998</v>
      </c>
      <c r="BM10" s="24">
        <f>COUNTIF(G15,"Yok")*(0)
+COUNTIF(G15,"Bakırköy")*(98.58/30*H15)
+COUNTIF(G15,"Bandırma")*(98.58/30*H15)
+COUNTIF(G15,"Beşiktaş")*(98.58/30*H15)
+COUNTIF(G15,"Bostancı")*(98.58/30*H15)
+COUNTIF(G15,"Bursa")*(98.58/30*H15)
+COUNTIF(G15,"Eskihisar")*(98.58/30*H15)
+COUNTIF(G15,"Harem")*(98.58/30*H15)
+COUNTIF(G15,"Kabataş")*(98.58/30*H15)
+COUNTIF(G15,"Kadıköy")*(98.58/30*H15)
+COUNTIF(G15,"Pendik")*(98.58/30*H15)
+COUNTIF(G15,"Sirkeci")*(98.58/30*H15)
+COUNTIF(G15,"Topçular")*(98.58/30*H15)
+COUNTIF(G15,"Yalova")*(98.58/30*H15)
+COUNTIF(G15,"Yenikapı")*(98.58/30*H15)</f>
        <v>0</v>
      </c>
      <c r="BN10" s="24">
        <f>COUNTIF(G15,"Yok")*(0)
+COUNTIF(G15,"Bakırköy")*(264.27/30*H15)
+COUNTIF(G15,"Bandırma")*(125.85/30*H15)
+COUNTIF(G15,"Beşiktaş")*(264.27/30*H15)
+COUNTIF(G15,"Bostancı")*(264.27/30*H15)
+COUNTIF(G15,"Bursa")*(402.7/30*H15)
+COUNTIF(G15,"Eskihisar")*(402.7/30*H15)
+COUNTIF(G15,"Harem")*(402.7/30*H15)
+COUNTIF(G15,"Kabataş")*(264.27/30*H15)
+COUNTIF(G15,"Kadıköy")*(264.27/30*H15)
+COUNTIF(G15,"Maltepe")*(125.85/30*H15)
+COUNTIF(G15,"Pendik")*(264.27/30*H15)
+COUNTIF(G15,"Sirkeci")*(402.7/30*H15)
+COUNTIF(G15,"Topçular")*(402.7/30*H15)
+COUNTIF(G15,"Yalova")*(402.7/30*H15)
+COUNTIF(G15,"Yenikapı")*(402.7/30*H15)</f>
        <v>0</v>
      </c>
      <c r="BO10" s="24">
        <f>COUNTIF(G15,"Yok")*(0)
+COUNTIF(G15,"Eskihisar")*(83.89/30*H15)
+COUNTIF(G15,"Harem")*(83.89/30*H15)
+COUNTIF(G15,"Sirkeci")*(83.89/30*H15)
+COUNTIF(G15,"Topçular")*(83.89/30*H15)</f>
        <v>0</v>
      </c>
      <c r="BP10" s="21">
        <f ca="1">(BQ10/CU18)</f>
        <v>0</v>
      </c>
      <c r="BQ10" s="21">
        <f>COUNTIF($A$1,"2S-Gişe Sorumlusu-Üniversite")*(BN13)
+COUNTIF($A$1,"2S-Gişe Sorumlusu-MYO")*(BN13)
+COUNTIF($A$1,"2S-Gişe Sorumlusu-Lise")*(BN13)
+COUNTIF($A$1,"2S-Gişe Sorumlusu-Ortaokul")*(BN13)
+COUNTIF($A$1,"2S-Gişe Sorumlusu-İlkokul")*(BN13)
+COUNTIF($A$1,"2S-Gişe Görevlisi-Üniversite")*(BM10)
+COUNTIF($A$1,"2S-Gişe Görevlisi-MYO")*(BM10)
+COUNTIF($A$1,"2S-Gişe Görevlisi-Lise")*(BM10)
+COUNTIF($A$1,"2S-Gişe Görevlisi-Ortaokul")*(BM10)
+COUNTIF($A$1,"2S-Gişe Görevlisi-İlkokul")*(BM10)
+COUNTIF($A$1,"2S-Terminal Görevlisi-Üniversite")*(BN10)
+COUNTIF($A$1,"2S-Terminal Görevlisi-MYO")*(BN10)
+COUNTIF($A$1,"2S-Terminal Görevlisi-Lise")*(BN10)
+COUNTIF($A$1,"2S-Terminal Görevlisi-Ortaokul")*(BN10)
+COUNTIF($A$1,"2S-Terminal Görevlisi-İlkokul")*(BN10)
+COUNTIF($A$1,"2S-İskele Görevlisi-Üniversite")*(BO10)
+COUNTIF($A$1,"2S-İskele Görevlisi-MYO")*(BO10)
+COUNTIF($A$1,"2S-İskele Görevlisi-Lise")*(BO10)
+COUNTIF($A$1,"2S-İskele Görevlisi-Ortaokul")*(BO10)
+COUNTIF($A$1,"2S-İskele Görevlisi-İlkokul")*(BO10)</f>
        <v>0</v>
      </c>
      <c r="BR10" s="21">
        <f ca="1">(BO13/CU18)</f>
        <v>0</v>
      </c>
      <c r="BS10" s="24">
        <f>COUNTIF(G18,"Yok")*(0)
+COUNTIF(G18,"Bakırköy")*(115.36/30*H18)
+COUNTIF(G18,"Bandırma")*(115.36/30*H18)
+COUNTIF(G18,"Bostancı")*(520.17/30*H18)
+COUNTIF(G18,"Bursa")*(520.17/30*H18)
+COUNTIF(G18,"Eskihisar")*(635.52/30*H18)
+COUNTIF(G18,"Harem")*(520.17/30*H18)
+COUNTIF(G18,"Kabataş")*(520.17/30*H18)
+COUNTIF(G18,"Kadıköy")*(520.17/30*H18)
+COUNTIF(G18,"Pendik")*(520.17/30*H18)
+COUNTIF(G18,"Sirkeci")*(520.17/30*H18)
+COUNTIF(G18,"Topçular")*(635.52/30*H18)
+COUNTIF(G18,"Yalova")*(635.52/30*H18)
+COUNTIF(G18,"Yenikapı")*(635.52/30*H18)</f>
        <v>0</v>
      </c>
      <c r="BT10" s="26">
        <v>30</v>
      </c>
      <c r="BU10" s="28" t="s">
        <v>72</v>
      </c>
      <c r="BV10" s="29">
        <v>1046.47</v>
      </c>
      <c r="BW10" s="29">
        <f t="shared" si="1"/>
        <v>0</v>
      </c>
      <c r="BX10" s="29">
        <f t="shared" si="2"/>
        <v>0</v>
      </c>
      <c r="BY10" s="29">
        <f t="shared" ca="1" si="3"/>
        <v>0</v>
      </c>
      <c r="BZ10" s="33" t="s">
        <v>11</v>
      </c>
      <c r="CA10" s="21">
        <f ca="1">COUNTIF(BZ10,"Var")*(AO17*0.9*-1)</f>
        <v>-208.23751441013093</v>
      </c>
      <c r="CB10" s="21">
        <f t="shared" ca="1" si="8"/>
        <v>208.23751441013093</v>
      </c>
      <c r="CC10" s="29">
        <f ca="1">(CH22*P22+CD10)*-1</f>
        <v>0</v>
      </c>
      <c r="CD10" s="29">
        <f ca="1">(AW20+AY20+BA20-AK9)*(P22*-1)</f>
        <v>0</v>
      </c>
      <c r="CE10" s="29">
        <f t="shared" ca="1" si="9"/>
        <v>0</v>
      </c>
      <c r="CF10" s="21" t="s">
        <v>0</v>
      </c>
      <c r="CG10" s="21">
        <f>(6471)</f>
        <v>6471</v>
      </c>
      <c r="CH10" s="21">
        <f>(6471)</f>
        <v>6471</v>
      </c>
      <c r="CI10" s="21">
        <f t="shared" si="10"/>
        <v>0</v>
      </c>
      <c r="CJ10" s="21">
        <f t="shared" si="11"/>
        <v>0</v>
      </c>
      <c r="CK10" s="21">
        <f>(0)</f>
        <v>0</v>
      </c>
      <c r="CL10" s="21">
        <f t="shared" si="12"/>
        <v>6471</v>
      </c>
      <c r="CM10" s="21">
        <f t="shared" si="13"/>
        <v>-905.94</v>
      </c>
      <c r="CN10" s="21">
        <f t="shared" si="14"/>
        <v>-64.710000000000008</v>
      </c>
      <c r="CO10" s="21" t="s">
        <v>0</v>
      </c>
      <c r="CP10" s="21" t="s">
        <v>0</v>
      </c>
      <c r="CQ10" s="21" t="s">
        <v>0</v>
      </c>
      <c r="CR10" s="21" t="s">
        <v>0</v>
      </c>
      <c r="CS10" s="21">
        <f>(0)</f>
        <v>0</v>
      </c>
      <c r="CT10" s="21">
        <f t="shared" si="4"/>
        <v>5500.3499999999995</v>
      </c>
      <c r="CU10" s="21">
        <f>SUM(CT$3:$CT10)</f>
        <v>36521.1</v>
      </c>
      <c r="CV10" s="30">
        <f t="shared" si="5"/>
        <v>0.2</v>
      </c>
      <c r="CW10" s="33">
        <f t="shared" si="15"/>
        <v>1</v>
      </c>
      <c r="CX10" s="35">
        <f>IF(CW10=0,CV10,(VLOOKUP($CV10,$CO$3:$CR$7,2,0)-CU9)/CT10*CV9+(CU10-VLOOKUP($CV10,$CO$3:$CR$7,2,0))/CT10*CV10)</f>
        <v>0.19109829374494347</v>
      </c>
      <c r="CY10" s="21">
        <f t="shared" si="18"/>
        <v>1051.1099999999999</v>
      </c>
      <c r="CZ10" s="35">
        <f t="shared" si="16"/>
        <v>0.8099764503167981</v>
      </c>
      <c r="DA10" s="21">
        <f t="shared" si="6"/>
        <v>6471</v>
      </c>
      <c r="DB10" s="21">
        <f t="shared" si="7"/>
        <v>5500.3499999999995</v>
      </c>
      <c r="DC10" s="27">
        <v>8</v>
      </c>
      <c r="DD10" s="31">
        <v>4</v>
      </c>
      <c r="DE10" s="32">
        <v>0.1</v>
      </c>
      <c r="DF10" s="42"/>
    </row>
    <row r="11" spans="1:110" ht="39.950000000000003" customHeight="1" x14ac:dyDescent="0.25">
      <c r="A11" s="68"/>
      <c r="B11" s="69"/>
      <c r="C11" s="61"/>
      <c r="D11" s="61"/>
      <c r="E11" s="70"/>
      <c r="F11" s="61"/>
      <c r="G11" s="61"/>
      <c r="H11" s="61"/>
      <c r="I11" s="61"/>
      <c r="J11" s="61"/>
      <c r="K11" s="61"/>
      <c r="L11" s="61"/>
      <c r="M11" s="61"/>
      <c r="N11" s="61"/>
      <c r="O11" s="61"/>
      <c r="P11" s="61"/>
      <c r="Q11" s="61"/>
      <c r="R11" s="61"/>
      <c r="S11" s="72"/>
      <c r="T11" s="44" t="s">
        <v>160</v>
      </c>
      <c r="U11" s="45">
        <f t="shared" si="20"/>
        <v>0</v>
      </c>
      <c r="V11" s="45">
        <f>COUNTIF(W1,"Ocak")*(BC18+BE18)
+COUNTIF(W1,"Şubat")*(BC19+BE19)
+COUNTIF(W1,"Mart")*(BC20+BE20)
+COUNTIF(W1,"Nisan")*(BC21+BE21)
+COUNTIF(W1,"Mayıs")*(BB4+BD4)
+COUNTIF(W1,"Haziran")*(BB5+BD5)
+COUNTIF(W1,"Temmuz")*(BB6+BD6)
+COUNTIF(W1,"Ağustos")*(BB7+BD7)
+COUNTIF(W1,"Eylül")*(BI23+BK23)
+COUNTIF(W1,"Ekim")*(BM24+BO24)
+COUNTIF(W1,"Kasım")*(AW16+AY16)
+COUNTIF(W1,"Aralık")*(AW17+AY17)
+COUNTIF(W1,"Yıllık Toplam")*(AM22+AO22)
+COUNTIF(W1,"Yıllık Ortalama")*(AM23+AO23)</f>
        <v>0</v>
      </c>
      <c r="W11" s="71"/>
      <c r="X11" s="65"/>
      <c r="Y11" s="49" t="s">
        <v>27</v>
      </c>
      <c r="Z11" s="50" t="s">
        <v>166</v>
      </c>
      <c r="AA11" s="54"/>
      <c r="AB11" s="55"/>
      <c r="AC11" s="57"/>
      <c r="AD11" s="56"/>
      <c r="AE11" s="20" t="s">
        <v>91</v>
      </c>
      <c r="AF11" s="21">
        <v>183</v>
      </c>
      <c r="AG11" s="21">
        <v>210.57</v>
      </c>
      <c r="AH11" s="22">
        <f>(AI19+1)</f>
        <v>44866</v>
      </c>
      <c r="AI11" s="22">
        <f>EOMONTH(AH11,0)</f>
        <v>44895</v>
      </c>
      <c r="AJ11" s="23">
        <f>DAY(AI11)</f>
        <v>30</v>
      </c>
      <c r="AK11" s="23">
        <f>NETWORKDAYS.INTL(AH11,AI11,11)</f>
        <v>26</v>
      </c>
      <c r="AL11" s="23">
        <f>(AJ11-AK11)</f>
        <v>4</v>
      </c>
      <c r="AM11" s="24">
        <f ca="1">(AN11/BJ9)</f>
        <v>311.74234390040954</v>
      </c>
      <c r="AN11"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1" s="24">
        <f ca="1">(AP11+CB25/AJ11*-1+CR28/AJ11*-1)/(BJ9)</f>
        <v>249.24350557178059</v>
      </c>
      <c r="AP11"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1" s="24">
        <f ca="1">(AR11/BJ9)</f>
        <v>311.74234390040954</v>
      </c>
      <c r="AR11"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11" s="25">
        <f ca="1">(AO11*AJ11)</f>
        <v>7477.3051671534176</v>
      </c>
      <c r="AT11" s="21">
        <f>(AR11*AJ11)</f>
        <v>5732.0999999999995</v>
      </c>
      <c r="AU11" s="21">
        <f ca="1">(AV11/BJ9)</f>
        <v>0</v>
      </c>
      <c r="AV11" s="21">
        <f>(7.84*C25)</f>
        <v>0</v>
      </c>
      <c r="AW11" s="21">
        <f ca="1">(AX11/BJ9)</f>
        <v>0</v>
      </c>
      <c r="AX11" s="21">
        <f>(AR11/7.5*1.5*D25)</f>
        <v>0</v>
      </c>
      <c r="AY11" s="21">
        <f ca="1">(AZ11/BJ9)</f>
        <v>0</v>
      </c>
      <c r="AZ11" s="21">
        <f>(AR11/7.5*2*E25)</f>
        <v>0</v>
      </c>
      <c r="BA11" s="21">
        <f ca="1">(BD11)</f>
        <v>1324.27</v>
      </c>
      <c r="BB11" s="21">
        <f>(42*F25)</f>
        <v>840</v>
      </c>
      <c r="BC11" s="21">
        <f>(BB11)</f>
        <v>840</v>
      </c>
      <c r="BD11" s="21">
        <f ca="1">ROUND((BC11+BE11*-1+BH11*-1+AN25*-1+AQ25*-1),2)</f>
        <v>1324.27</v>
      </c>
      <c r="BE11" s="21">
        <f ca="1">(BD11*0.00759*-1)</f>
        <v>-10.0512093</v>
      </c>
      <c r="BF11" s="21">
        <f>(12.94*F25)</f>
        <v>258.8</v>
      </c>
      <c r="BG11" s="21">
        <f ca="1">(BD11-BF11)</f>
        <v>1065.47</v>
      </c>
      <c r="BH11" s="21">
        <f ca="1">(BG11*0.14*-1)</f>
        <v>-149.16580000000002</v>
      </c>
      <c r="BI11" s="21">
        <f t="shared" ref="BI11:BS11" si="21">(BA16+BA17+AR18+AR1+AR2+AR3+AR19+AR20+AR21+AR22+AR11+AR12)</f>
        <v>2043.4199999999996</v>
      </c>
      <c r="BJ11" s="21">
        <f t="shared" ca="1" si="21"/>
        <v>77880.362206745442</v>
      </c>
      <c r="BK11" s="21">
        <f t="shared" si="21"/>
        <v>62216.37999999999</v>
      </c>
      <c r="BL11" s="21">
        <f t="shared" ca="1" si="21"/>
        <v>0</v>
      </c>
      <c r="BM11" s="21">
        <f t="shared" si="21"/>
        <v>0</v>
      </c>
      <c r="BN11" s="21">
        <f t="shared" ca="1" si="21"/>
        <v>0</v>
      </c>
      <c r="BO11" s="21">
        <f t="shared" si="21"/>
        <v>0</v>
      </c>
      <c r="BP11" s="21">
        <f t="shared" ca="1" si="21"/>
        <v>0</v>
      </c>
      <c r="BQ11" s="21">
        <f t="shared" si="21"/>
        <v>0</v>
      </c>
      <c r="BR11" s="21">
        <f t="shared" ca="1" si="21"/>
        <v>14649.090000000002</v>
      </c>
      <c r="BS11" s="21">
        <f t="shared" si="21"/>
        <v>10080</v>
      </c>
      <c r="BT11" s="26">
        <v>30</v>
      </c>
      <c r="BU11" s="28" t="s">
        <v>73</v>
      </c>
      <c r="BV11" s="29">
        <v>1566.21</v>
      </c>
      <c r="BW11" s="29">
        <f t="shared" si="1"/>
        <v>0</v>
      </c>
      <c r="BX11" s="29">
        <f t="shared" si="2"/>
        <v>0</v>
      </c>
      <c r="BY11" s="29">
        <f t="shared" ca="1" si="3"/>
        <v>0</v>
      </c>
      <c r="BZ11" s="33" t="s">
        <v>11</v>
      </c>
      <c r="CA11" s="21">
        <f ca="1">COUNTIF(BZ11,"Var")*(AO18*0.9*-1)</f>
        <v>-220.5128754099778</v>
      </c>
      <c r="CB11" s="21">
        <f t="shared" ca="1" si="8"/>
        <v>220.5128754099778</v>
      </c>
      <c r="CC11" s="29">
        <f ca="1">(CH23*P23+CD11)*-1</f>
        <v>0</v>
      </c>
      <c r="CD11" s="29">
        <f ca="1">(AW21+AY21+BA21-AK10)*(P23*-1)</f>
        <v>0</v>
      </c>
      <c r="CE11" s="29">
        <f t="shared" ca="1" si="9"/>
        <v>0</v>
      </c>
      <c r="CF11" s="21" t="s">
        <v>0</v>
      </c>
      <c r="CG11" s="21">
        <f>(6471)</f>
        <v>6471</v>
      </c>
      <c r="CH11" s="21">
        <f>(6471)</f>
        <v>6471</v>
      </c>
      <c r="CI11" s="21">
        <f t="shared" si="10"/>
        <v>0</v>
      </c>
      <c r="CJ11" s="21">
        <f t="shared" si="11"/>
        <v>0</v>
      </c>
      <c r="CK11" s="21">
        <f>(0)</f>
        <v>0</v>
      </c>
      <c r="CL11" s="21">
        <f t="shared" si="12"/>
        <v>6471</v>
      </c>
      <c r="CM11" s="21">
        <f t="shared" si="13"/>
        <v>-905.94</v>
      </c>
      <c r="CN11" s="21">
        <f t="shared" si="14"/>
        <v>-64.710000000000008</v>
      </c>
      <c r="CO11" s="21" t="s">
        <v>0</v>
      </c>
      <c r="CP11" s="21" t="s">
        <v>0</v>
      </c>
      <c r="CQ11" s="21" t="s">
        <v>0</v>
      </c>
      <c r="CR11" s="21" t="s">
        <v>0</v>
      </c>
      <c r="CS11" s="21">
        <f>(0)</f>
        <v>0</v>
      </c>
      <c r="CT11" s="21">
        <f t="shared" si="4"/>
        <v>5500.3499999999995</v>
      </c>
      <c r="CU11" s="21">
        <f>SUM(CT$3:$CT11)</f>
        <v>42021.45</v>
      </c>
      <c r="CV11" s="30">
        <f t="shared" si="5"/>
        <v>0.2</v>
      </c>
      <c r="CW11" s="33">
        <f t="shared" si="15"/>
        <v>0</v>
      </c>
      <c r="CX11" s="35">
        <f>IF(CW11=0,CV11,(VLOOKUP($CV11,$CO$3:$CR$7,2,0)-CU10)/CT11*CV10+(CU11-VLOOKUP($CV11,$CO$3:$CR$7,2,0))/CT11*CV11)</f>
        <v>0.2</v>
      </c>
      <c r="CY11" s="21">
        <f t="shared" si="18"/>
        <v>1100.07</v>
      </c>
      <c r="CZ11" s="35">
        <f t="shared" si="16"/>
        <v>0.80240999999999996</v>
      </c>
      <c r="DA11" s="21">
        <f t="shared" si="6"/>
        <v>6471</v>
      </c>
      <c r="DB11" s="21">
        <f t="shared" si="7"/>
        <v>5500.3499999999995</v>
      </c>
      <c r="DC11" s="27">
        <v>9</v>
      </c>
      <c r="DD11" s="31">
        <v>4.5</v>
      </c>
      <c r="DE11" s="32">
        <v>0.11</v>
      </c>
      <c r="DF11" s="42"/>
    </row>
    <row r="12" spans="1:110" ht="39.950000000000003" customHeight="1" x14ac:dyDescent="0.25">
      <c r="A12" s="68"/>
      <c r="B12" s="69"/>
      <c r="C12" s="61"/>
      <c r="D12" s="61"/>
      <c r="E12" s="70"/>
      <c r="F12" s="61"/>
      <c r="G12" s="61"/>
      <c r="H12" s="61"/>
      <c r="I12" s="61"/>
      <c r="J12" s="61"/>
      <c r="K12" s="61"/>
      <c r="L12" s="61"/>
      <c r="M12" s="61"/>
      <c r="N12" s="61"/>
      <c r="O12" s="61"/>
      <c r="P12" s="61"/>
      <c r="Q12" s="61"/>
      <c r="R12" s="61"/>
      <c r="S12" s="72"/>
      <c r="T12" s="44" t="s">
        <v>161</v>
      </c>
      <c r="U12" s="45">
        <f t="shared" ref="U12" si="22">IF(V12&gt;0,V12,V12*-1)</f>
        <v>0</v>
      </c>
      <c r="V12" s="45">
        <f>COUNTIF(W1,"Ocak")*(BG18)
+COUNTIF(W1,"Şubat")*(BG19)
+COUNTIF(W1,"Mart")*(BG20)
+COUNTIF(W1,"Nisan")*(BG21)
+COUNTIF(W1,"Mayıs")*(BF4)
+COUNTIF(W1,"Haziran")*(BF5)
+COUNTIF(W1,"Temmuz")*(BF6)
+COUNTIF(W1,"Ağustos")*(BF7)
+COUNTIF(W1,"Eylül")*(BM23)
+COUNTIF(W1,"Ekim")*(BA25)
+COUNTIF(W1,"Kasım")*(BA26)
+COUNTIF(W1,"Aralık")*(BK22)
+COUNTIF(W1,"Yıllık Toplam")*(AQ22)
+COUNTIF(W1,"Yıllık Ortalama")*(AQ23)</f>
        <v>0</v>
      </c>
      <c r="W12" s="71"/>
      <c r="X12" s="65"/>
      <c r="Y12" s="49" t="s">
        <v>41</v>
      </c>
      <c r="Z12" s="50" t="s">
        <v>167</v>
      </c>
      <c r="AA12" s="54"/>
      <c r="AB12" s="55"/>
      <c r="AC12" s="57"/>
      <c r="AD12" s="56"/>
      <c r="AE12" s="20" t="s">
        <v>92</v>
      </c>
      <c r="AF12" s="21">
        <v>182.75</v>
      </c>
      <c r="AG12" s="21">
        <v>209.57</v>
      </c>
      <c r="AH12" s="22">
        <f>(AI11+1)</f>
        <v>44896</v>
      </c>
      <c r="AI12" s="22">
        <f>EOMONTH(AH12,0)</f>
        <v>44926</v>
      </c>
      <c r="AJ12" s="23">
        <f>DAY(AI12)</f>
        <v>31</v>
      </c>
      <c r="AK12" s="23">
        <f>NETWORKDAYS.INTL(AH12,AI12,11)</f>
        <v>27</v>
      </c>
      <c r="AL12" s="23">
        <f>(AJ12-AK12)</f>
        <v>4</v>
      </c>
      <c r="AM12" s="24">
        <f ca="1">(AN12/BJ10)</f>
        <v>311.74234390040954</v>
      </c>
      <c r="AN12"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2" s="24">
        <f ca="1">(AP12+CB26/AJ12*-1+CR29/AJ12*-1)/(BJ10)</f>
        <v>251.25959713076858</v>
      </c>
      <c r="AP12"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2" s="24">
        <f ca="1">(AR12/BJ10)</f>
        <v>311.74234390040954</v>
      </c>
      <c r="AR12"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12" s="25">
        <f ca="1">(AO12*AJ12)</f>
        <v>7789.0475110538264</v>
      </c>
      <c r="AT12" s="21">
        <f>(AR12*AJ12)</f>
        <v>5923.17</v>
      </c>
      <c r="AU12" s="21">
        <f ca="1">(AV12/BJ10)</f>
        <v>0</v>
      </c>
      <c r="AV12" s="21">
        <f>(7.84*C26)</f>
        <v>0</v>
      </c>
      <c r="AW12" s="21">
        <f ca="1">(AX12/BJ10)</f>
        <v>0</v>
      </c>
      <c r="AX12" s="21">
        <f>(AR12/7.5*1.5*D26)</f>
        <v>0</v>
      </c>
      <c r="AY12" s="21">
        <f ca="1">(AZ12/BJ10)</f>
        <v>0</v>
      </c>
      <c r="AZ12" s="21">
        <f>(AR12/7.5*2*E26)</f>
        <v>0</v>
      </c>
      <c r="BA12" s="21">
        <f ca="1">(BD12)</f>
        <v>1324.27</v>
      </c>
      <c r="BB12" s="21">
        <f>(42*F26)</f>
        <v>840</v>
      </c>
      <c r="BC12" s="21">
        <f>(BB12)</f>
        <v>840</v>
      </c>
      <c r="BD12" s="21">
        <f ca="1">ROUND((BC12+BE12*-1+BH12*-1+AN26*-1+AQ26*-1),2)</f>
        <v>1324.27</v>
      </c>
      <c r="BE12" s="21">
        <f ca="1">(BD12*0.00759*-1)</f>
        <v>-10.0512093</v>
      </c>
      <c r="BF12" s="21">
        <f>(12.94*F26)</f>
        <v>258.8</v>
      </c>
      <c r="BG12" s="21">
        <f ca="1">(BD12-BF12)</f>
        <v>1065.47</v>
      </c>
      <c r="BH12" s="21">
        <f ca="1">(BG12*0.14*-1)</f>
        <v>-149.16580000000002</v>
      </c>
      <c r="BI12" s="21">
        <f>(BI11/12)</f>
        <v>170.28499999999997</v>
      </c>
      <c r="BJ12" s="21">
        <f t="shared" ref="BJ12:BK12" ca="1" si="23">(BJ11/12)</f>
        <v>6490.0301838954538</v>
      </c>
      <c r="BK12" s="21">
        <f t="shared" si="23"/>
        <v>5184.6983333333328</v>
      </c>
      <c r="BL12" s="21">
        <f t="shared" ref="BL12:BM12" ca="1" si="24">(BL11/12)</f>
        <v>0</v>
      </c>
      <c r="BM12" s="21">
        <f t="shared" si="24"/>
        <v>0</v>
      </c>
      <c r="BN12" s="21">
        <f t="shared" ref="BN12:BO12" ca="1" si="25">(BN11/12)</f>
        <v>0</v>
      </c>
      <c r="BO12" s="21">
        <f t="shared" si="25"/>
        <v>0</v>
      </c>
      <c r="BP12" s="21">
        <f t="shared" ref="BP12:BQ12" ca="1" si="26">(BP11/12)</f>
        <v>0</v>
      </c>
      <c r="BQ12" s="21">
        <f t="shared" si="26"/>
        <v>0</v>
      </c>
      <c r="BR12" s="21">
        <f ca="1">(BR11/12)</f>
        <v>1220.7575000000002</v>
      </c>
      <c r="BS12" s="21">
        <f>(BS11/12)</f>
        <v>840</v>
      </c>
      <c r="BT12" s="26">
        <v>30</v>
      </c>
      <c r="BU12" s="28" t="s">
        <v>68</v>
      </c>
      <c r="BV12" s="29">
        <v>1046.47</v>
      </c>
      <c r="BW12" s="29">
        <f t="shared" si="1"/>
        <v>0</v>
      </c>
      <c r="BX12" s="29">
        <f t="shared" si="2"/>
        <v>0</v>
      </c>
      <c r="BY12" s="29">
        <f ca="1">COUNTIF(M24,"Yok")*(0)
+COUNTIF(M24,"Askerlik Yardımı")*($BV$2*BJ8)
+COUNTIF(M24,"Cenaze Yardımı (Anne-Baba)")*($BV$3)
+COUNTIF(M24,"Cenaze Yardımı (Eş-Çocuk)")*($BV$4)
+COUNTIF(M24,"Cenaze Yardımı (İşçi-İş Kazası Sonucu)")*($BV$5)
+COUNTIF(M24,"Cenaze Yardımı (İşçi-Tabii Sebepler Sonucu)")*($BV$6)
+COUNTIF(M24,"Doğal Afet Yardımı")*($BV$7)
+COUNTIF(M24,"Eğitim Yardımı (Çocuk-İlköğretim)")*($BV$8*BJ8)
+COUNTIF(M24,"Eğitim Yardımı (Çocuk-Ortaöğretim)")*($BV$9*BJ8)
+COUNTIF(M24,"Eğitim Yardımı (Çocuk-Lise)")*($BV$10*BJ8)
+COUNTIF(M24,"Eğitim Yardımı (Çocuk-Yükseköğretim)")*($BV$11*BJ8)
+COUNTIF(M24,"Eğitim Yardımı (İşçi-Lise)")*($BV$12*BJ8)
+COUNTIF(M24,"Eğitim Yardımı (İşçi-Yükseköğretim)")*($BV$13*BJ8)
+COUNTIF(M24,"Evlilik Yardımı")*($BV$14)
+COUNTIF(M24,"Gıda Yardımı")*($BV$15*BJ8)
+COUNTIF(M24,"İş Kazası veya Meslek Hastalığı Tazminatı")*($BV$16)
+COUNTIF(M24,"Temizlik Yardımı")*($BV$17*BJ8)
+COUNTIF(N24,"Yok")*(0)
+COUNTIF(N24,"Askerlik Yardımı")*($BV$2*BJ8)
+COUNTIF(N24,"Cenaze Yardımı (Anne-Baba)")*($BV$3)
+COUNTIF(N24,"Cenaze Yardımı (Eş-Çocuk)")*($BV$4)
+COUNTIF(N24,"Cenaze Yardımı (İşçi-İş Kazası Sonucu)")*($BV$5)
+COUNTIF(N24,"Cenaze Yardımı (İşçi-Tabii Sebepler Sonucu)")*($BV$6)
+COUNTIF(N24,"Doğal Afet Yardımı")*($BV$7)
+COUNTIF(N24,"Eğitim Yardımı (Çocuk-İlköğretim)")*($BV$8*BJ8)
+COUNTIF(N24,"Eğitim Yardımı (Çocuk-Ortaöğretim)")*($BV$9*BJ8)
+COUNTIF(N24,"Eğitim Yardımı (Çocuk-Lise)")*($BV$10*BJ8)
+COUNTIF(N24,"Eğitim Yardımı (Çocuk-Yükseköğretim)")*($BV$11*BJ8)
+COUNTIF(N24,"Eğitim Yardımı (İşçi-Lise)")*($BV$12*BJ8)
+COUNTIF(N24,"Eğitim Yardımı (İşçi-Yükseköğretim)")*($BV$13*BJ8)
+COUNTIF(N24,"Evlilik Yardımı")*($BV$14)
+COUNTIF(N24,"Gıda Yardımı")*($BV$15*BJ8)
+COUNTIF(N24,"İş Kazası veya Meslek Hastalığı Tazminatı")*($BV$16)
+COUNTIF(N24,"Temizlik Yardımı")*($BV$17*BJ8)
+COUNTIF(O24,"Yok")*(0)
+COUNTIF(O24,"Askerlik Yardımı")*($BV$2*BJ8)
+COUNTIF(O24,"Cenaze Yardımı (Anne-Baba)")*($BV$3)
+COUNTIF(O24,"Cenaze Yardımı (Eş-Çocuk)")*($BV$4)
+COUNTIF(O24,"Cenaze Yardımı (İşçi-İş Kazası Sonucu)")*($BV$5)
+COUNTIF(O24,"Cenaze Yardımı (İşçi-Tabii Sebepler Sonucu)")*($BV$6)
+COUNTIF(O24,"Doğal Afet Yardımı")*($BV$7)
+COUNTIF(O24,"Eğitim Yardımı (Çocuk-İlköğretim)")*($BV$8*BJ8)
+COUNTIF(O24,"Eğitim Yardımı (Çocuk-Ortaöğretim)")*($BV$9*BJ8)
+COUNTIF(O24,"Eğitim Yardımı (Çocuk-Lise)")*($BV$10*BJ8)
+COUNTIF(O24,"Eğitim Yardımı (Çocuk-Yükseköğretim)")*($BV$11*BJ8)
+COUNTIF(O24,"Eğitim Yardımı (İşçi-Lise)")*($BV$12*BJ8)
+COUNTIF(O24,"Eğitim Yardımı (İşçi-Yükseköğretim)")*($BV$13*BJ8)
+COUNTIF(O24,"Evlilik Yardımı")*($BV$14)
+COUNTIF(O24,"Gıda Yardımı")*($BV$15*BJ8)
+COUNTIF(O24,"İş Kazası veya Meslek Hastalığı Tazminatı")*($BV$16)
+COUNTIF(O24,"Temizlik Yardımı")*($BV$17*BJ8)</f>
        <v>0</v>
      </c>
      <c r="BZ12" s="33" t="s">
        <v>11</v>
      </c>
      <c r="CA12" s="21">
        <f ca="1">COUNTIF(BZ12,"Var")*(AO19*0.9*-1)</f>
        <v>-226.13363741769172</v>
      </c>
      <c r="CB12" s="21">
        <f t="shared" ca="1" si="8"/>
        <v>226.13363741769172</v>
      </c>
      <c r="CC12" s="29">
        <f ca="1">(CH24*P24+CD12)*-1</f>
        <v>0</v>
      </c>
      <c r="CD12" s="29">
        <f ca="1">(AW22+AY22+BA22-AK24)*(P24*-1)</f>
        <v>0</v>
      </c>
      <c r="CE12" s="29">
        <f t="shared" ca="1" si="9"/>
        <v>0</v>
      </c>
      <c r="CF12" s="21" t="s">
        <v>0</v>
      </c>
      <c r="CG12" s="21">
        <f>(6471)</f>
        <v>6471</v>
      </c>
      <c r="CH12" s="21">
        <f>(6471)</f>
        <v>6471</v>
      </c>
      <c r="CI12" s="21">
        <f t="shared" si="10"/>
        <v>0</v>
      </c>
      <c r="CJ12" s="21">
        <f t="shared" si="11"/>
        <v>0</v>
      </c>
      <c r="CK12" s="21">
        <f>(0)</f>
        <v>0</v>
      </c>
      <c r="CL12" s="21">
        <f t="shared" si="12"/>
        <v>6471</v>
      </c>
      <c r="CM12" s="21">
        <f t="shared" si="13"/>
        <v>-905.94</v>
      </c>
      <c r="CN12" s="21">
        <f t="shared" si="14"/>
        <v>-64.710000000000008</v>
      </c>
      <c r="CO12" s="21" t="s">
        <v>0</v>
      </c>
      <c r="CP12" s="21" t="s">
        <v>0</v>
      </c>
      <c r="CQ12" s="21" t="s">
        <v>0</v>
      </c>
      <c r="CR12" s="21" t="s">
        <v>0</v>
      </c>
      <c r="CS12" s="21">
        <f>(0)</f>
        <v>0</v>
      </c>
      <c r="CT12" s="21">
        <f t="shared" si="4"/>
        <v>5500.3499999999995</v>
      </c>
      <c r="CU12" s="21">
        <f>SUM(CT$3:$CT12)</f>
        <v>47521.799999999996</v>
      </c>
      <c r="CV12" s="30">
        <f t="shared" si="5"/>
        <v>0.2</v>
      </c>
      <c r="CW12" s="33">
        <f t="shared" si="15"/>
        <v>0</v>
      </c>
      <c r="CX12" s="35">
        <f>IF(CW12=0,CV12,(VLOOKUP($CV12,$CO$3:$CR$7,2,0)-CU11)/CT12*CV11+(CU12-VLOOKUP($CV12,$CO$3:$CR$7,2,0))/CT12*CV12)</f>
        <v>0.2</v>
      </c>
      <c r="CY12" s="21">
        <f t="shared" si="18"/>
        <v>1100.07</v>
      </c>
      <c r="CZ12" s="35">
        <f t="shared" si="16"/>
        <v>0.80240999999999996</v>
      </c>
      <c r="DA12" s="21">
        <f t="shared" si="6"/>
        <v>6471</v>
      </c>
      <c r="DB12" s="21">
        <f t="shared" si="7"/>
        <v>5500.3499999999995</v>
      </c>
      <c r="DC12" s="27">
        <v>10</v>
      </c>
      <c r="DD12" s="31">
        <v>5</v>
      </c>
      <c r="DE12" s="32">
        <v>0.12</v>
      </c>
      <c r="DF12" s="42"/>
    </row>
    <row r="13" spans="1:110" ht="39.950000000000003" customHeight="1" x14ac:dyDescent="0.25">
      <c r="A13" s="68"/>
      <c r="B13" s="69"/>
      <c r="C13" s="61"/>
      <c r="D13" s="61"/>
      <c r="E13" s="70"/>
      <c r="F13" s="61"/>
      <c r="G13" s="61"/>
      <c r="H13" s="61"/>
      <c r="I13" s="61"/>
      <c r="J13" s="61"/>
      <c r="K13" s="61"/>
      <c r="L13" s="61"/>
      <c r="M13" s="61"/>
      <c r="N13" s="61"/>
      <c r="O13" s="61"/>
      <c r="P13" s="61"/>
      <c r="Q13" s="61"/>
      <c r="R13" s="61"/>
      <c r="S13" s="72"/>
      <c r="T13" s="44" t="s">
        <v>38</v>
      </c>
      <c r="U13" s="45">
        <f t="shared" ref="U13:U22" ca="1" si="27">IF(V13&gt;0,V13,V13*-1)</f>
        <v>0</v>
      </c>
      <c r="V13" s="45">
        <f ca="1">COUNTIF(W1,"Ocak")*(BY3)
+COUNTIF(W1,"Şubat")*(BY4)
+COUNTIF(W1,"Mart")*(BY5)
+COUNTIF(W1,"Nisan")*(BY6)
+COUNTIF(W1,"Mayıs")*(BY7)
+COUNTIF(W1,"Haziran")*(BY8)
+COUNTIF(W1,"Temmuz")*(BY9)
+COUNTIF(W1,"Ağustos")*(BY10)
+COUNTIF(W1,"Eylül")*(BY11)
+COUNTIF(W1,"Ekim")*(BY12)
+COUNTIF(W1,"Kasım")*(BY13)
+COUNTIF(W1,"Aralık")*(BY14)
+COUNTIF(W1,"Yıllık Toplam")*(BY15)
+COUNTIF(W1,"Yıllık Ortalama")*(BY16)</f>
        <v>0</v>
      </c>
      <c r="W13" s="71"/>
      <c r="X13" s="65"/>
      <c r="Y13" s="52" t="s">
        <v>43</v>
      </c>
      <c r="Z13" s="51" t="s">
        <v>156</v>
      </c>
      <c r="AA13" s="54"/>
      <c r="AB13" s="55"/>
      <c r="AC13" s="57"/>
      <c r="AD13" s="56"/>
      <c r="AE13" s="20" t="s">
        <v>93</v>
      </c>
      <c r="AF13" s="21">
        <v>182.5</v>
      </c>
      <c r="AG13" s="21">
        <v>208.57</v>
      </c>
      <c r="AH13" s="37">
        <v>44562</v>
      </c>
      <c r="AI13" s="22">
        <f t="shared" ref="AI13:AI15" si="28">EOMONTH(AH13,0)</f>
        <v>44592</v>
      </c>
      <c r="AJ13" s="23">
        <f>DAY(AI13)</f>
        <v>31</v>
      </c>
      <c r="AK13" s="23">
        <f>NETWORKDAYS.INTL(AH13,AI13,11)</f>
        <v>26</v>
      </c>
      <c r="AL13" s="23">
        <f>(AJ13-AK13)</f>
        <v>5</v>
      </c>
      <c r="AM13" s="24">
        <f ca="1">(AN13/CU18)</f>
        <v>209.11723153963433</v>
      </c>
      <c r="AN13"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13" s="24">
        <f ca="1">(AP13+CB18/AJ13*-1+CR18/AJ13*-1)/(CU18)</f>
        <v>178.61529333040343</v>
      </c>
      <c r="AP13"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13" s="24">
        <f ca="1">(BA16/CU18)</f>
        <v>209.11723153963433</v>
      </c>
      <c r="AR13" s="21">
        <f>(BK16)</f>
        <v>840</v>
      </c>
      <c r="AS13" s="21">
        <f ca="1">ROUND((AR13+AT13*-1+AW13*-1+AX13*-1+BA13*-1),2)</f>
        <v>1139.27</v>
      </c>
      <c r="AT13" s="21">
        <f ca="1">(AS13*0.00759*-1)</f>
        <v>-8.6470593000000004</v>
      </c>
      <c r="AU13" s="21">
        <f>(10.01*F15)</f>
        <v>200.2</v>
      </c>
      <c r="AV13" s="21">
        <f ca="1">(AS13-AU13)</f>
        <v>939.06999999999994</v>
      </c>
      <c r="AW13" s="21">
        <f ca="1">(AV13*0.14*-1)</f>
        <v>-131.46979999999999</v>
      </c>
      <c r="AX13" s="21">
        <f ca="1">(AV13*0.01*-1)</f>
        <v>-9.3906999999999989</v>
      </c>
      <c r="AY13" s="21">
        <f>(0)</f>
        <v>0</v>
      </c>
      <c r="AZ13" s="21">
        <f ca="1">(AS13+AW13+AX13-AY13)</f>
        <v>998.40949999999998</v>
      </c>
      <c r="BA13" s="21">
        <f ca="1">(AZ13*CP18*-1)</f>
        <v>-149.761425</v>
      </c>
      <c r="BB13" s="26">
        <v>30</v>
      </c>
      <c r="BC13" s="21">
        <f ca="1">(BD13/CU18)</f>
        <v>601.4743114517911</v>
      </c>
      <c r="BD13" s="21">
        <f>(430/30*BB13)</f>
        <v>430</v>
      </c>
      <c r="BE13" s="21">
        <f>(0)</f>
        <v>0</v>
      </c>
      <c r="BF13" s="21">
        <f>(0)</f>
        <v>0</v>
      </c>
      <c r="BG13" s="21">
        <f>(0)</f>
        <v>0</v>
      </c>
      <c r="BH13" s="26">
        <v>0</v>
      </c>
      <c r="BI13" s="21">
        <f ca="1">(BJ13/CU18)</f>
        <v>0</v>
      </c>
      <c r="BJ13" s="21">
        <f>(BA16*BH13)</f>
        <v>0</v>
      </c>
      <c r="BK13" s="26">
        <v>30</v>
      </c>
      <c r="BL13" s="21">
        <f ca="1">(BM13/CU18)</f>
        <v>487.76769103803269</v>
      </c>
      <c r="BM13" s="21">
        <f>COUNTIF($A$1,"1S-Makine ve Elektrik Teknisyenleri-Üniversite")*(566.31/30*BK13)
+COUNTIF($A$1,"1S-Makine ve Elektrik Teknisyenleri-MYO")*(566.31/30*BK13)
+COUNTIF($A$1,"1S-Makine ve Elektrik Teknisyenleri-Lise")*(566.31/30*BK13)
+COUNTIF($A$1,"1S-Makine ve Elektrik Teknisyenleri-Ortaokul")*(566.31/30*BK13)
+COUNTIF($A$1,"1S-Makine ve Elektrik Teknisyenleri-İlkokul")*(566.31/30*BK13)
+COUNTIF($A$1,"1S-Yakıt Elemanı-Üniversite")*(566.31/30*BK13)
+COUNTIF($A$1,"1S-Yakıt Elemanı-MYO")*(566.31/30*BK13)
+COUNTIF($A$1,"1S-Yakıt Elemanı-Lise")*(566.31/30*BK13)
+COUNTIF($A$1,"1S-Yakıt Elemanı-Ortaokul")*(566.31/30*BK13)
+COUNTIF($A$1,"1S-Yakıt Elemanı-İlkokul")*(566.31/30*BK13)
+COUNTIF($A$1,"1S-Tanker Şoförü-Üniversite")*(566.31/30*BK13)
+COUNTIF($A$1,"1S-Tanker Şoförü-MYO")*(566.31/30*BK13)
+COUNTIF($A$1,"1S-Tanker Şoförü-Lise")*(566.31/30*BK13)
+COUNTIF($A$1,"1S-Tanker Şoförü-Ortaokul")*(566.31/30*BK13)
+COUNTIF($A$1,"1S-Tanker Şoförü-İlkokul")*(566.31/30*BK13)
+COUNTIF($A$1,"1S-Vinç Operatörü-Üniversite")*(566.31/30*BK13)
+COUNTIF($A$1,"1S-Vinç Operatörü-MYO")*(566.31/30*BK13)
+COUNTIF($A$1,"1S-Vinç Operatörü-Lise")*(566.31/30*BK13)
+COUNTIF($A$1,"1S-Vinç Operatörü-Ortaokul")*(566.31/30*BK13)
+COUNTIF($A$1,"1S-Vinç Operatörü-İlkokul")*(566.31/30*BK13)
+COUNTIF($A$1,"1S-Rampa Görevlisi-Üniversite")*(566.31/30*BK13)
+COUNTIF($A$1,"1S-Rampa Görevlisi-MYO")*(566.31/30*BK13)
+COUNTIF($A$1,"1S-Rampa Görevlisi-Lise")*(566.31/30*BK13)
+COUNTIF($A$1,"1S-Rampa Görevlisi-Ortaokul")*(566.31/30*BK13)
+COUNTIF($A$1,"1S-Rampa Görevlisi-İlkokul")*(566.31/30*BK13)
+COUNTIF($A$1,"1S-Yakıt Hizmetlisi-Üniversite")*(566.31/30*BK13)
+COUNTIF($A$1,"1S-Yakıt Hizmetlisi-MYO")*(566.31/30*BK13)
+COUNTIF($A$1,"1S-Yakıt Hizmetlisi-Lise")*(566.31/30*BK13)
+COUNTIF($A$1,"1S-Yakıt Hizmetlisi-Ortaokul")*(566.31/30*BK13)
+COUNTIF($A$1,"1S-Yakıt Hizmetlisi-İlkokul")*(566.31/30*BK13)
+COUNTIF($A$1,"2S-Rampa Görevlisi-Üniversite")*(348.71/30*BK13)
+COUNTIF($A$1,"2S-Rampa Görevlisi-MYO")*(348.71/30*BK13)
+COUNTIF($A$1,"2S-Rampa Görevlisi-Lise")*(348.71/30*BK13)
+COUNTIF($A$1,"2S-Rampa Görevlisi-Ortaokul")*(348.71/30*BK13)
+COUNTIF($A$1,"2S-Rampa Görevlisi-İlkokul")*(348.71/30*BK13)
+COUNTIF($A$1,"2S-Hizmetliler-Üniversite")*(348.71/30*BK13)
+COUNTIF($A$1,"2S-Hizmetliler-MYO")*(348.71/30*BK13)
+COUNTIF($A$1,"2S-Hizmetliler-Lise")*(348.71/30*BK13)
+COUNTIF($A$1,"2S-Hizmetliler-Ortaokul")*(348.71/30*BK13)
+COUNTIF($A$1,"2S-Hizmetliler-İlkokul")*(348.71/30*BK13)
+COUNTIF($A$1,"2S-Çaycı-Üniversite")*(348.71/30*BK13)
+COUNTIF($A$1,"2S-Çaycı-MYO")*(348.71/30*BK13)
+COUNTIF($A$1,"2S-Çaycı-Lise")*(348.71/30*BK13)
+COUNTIF($A$1,"2S-Çaycı-Ortaokul")*(348.71/30*BK13)
+COUNTIF($A$1,"2S-Çaycı-İlkokul")*(348.71/30*BK13)
+COUNTIF($A$1,"2S-Gişe Sorumlusu-Üniversite")*(348.71/30*BK13)
+COUNTIF($A$1,"2S-Gişe Sorumlusu-MYO")*(348.71/30*BK13)
+COUNTIF($A$1,"2S-Gişe Sorumlusu-Lise")*(348.71/30*BK13)
+COUNTIF($A$1,"2S-Gişe Sorumlusu-Ortaokul")*(348.71/30*BK13)
+COUNTIF($A$1,"2S-Gişe Sorumlusu-İlkokul")*(348.71/30*BK13)
+COUNTIF($A$1,"2S-Gişe Görevlisi-Üniversite")*(348.71/30*BK13)
+COUNTIF($A$1,"2S-Gişe Görevlisi-MYO")*(348.71/30*BK13)
+COUNTIF($A$1,"2S-Gişe Görevlisi-Lise")*(348.71/30*BK13)
+COUNTIF($A$1,"2S-Gişe Görevlisi-Ortaokul")*(348.71/30*BK13)
+COUNTIF($A$1,"2S-Gişe Görevlisi-İlkokul")*(348.71/30*BK13)
+COUNTIF($A$1,"2S-Terminal Görevlisi-Üniversite")*(348.71/30*BK13)
+COUNTIF($A$1,"2S-Terminal Görevlisi-MYO")*(348.71/30*BK13)
+COUNTIF($A$1,"2S-Terminal Görevlisi-Lise")*(348.71/30*BK13)
+COUNTIF($A$1,"2S-Terminal Görevlisi-Ortaokul")*(348.71/30*BK13)
+COUNTIF($A$1,"2S-Terminal Görevlisi-İlkokul")*(348.71/30*BK13)
+COUNTIF($A$1,"2S-İskele Görevlisi-Üniversite")*(348.71/30*BK13)
+COUNTIF($A$1,"2S-İskele Görevlisi-MYO")*(348.71/30*BK13)
+COUNTIF($A$1,"2S-İskele Görevlisi-Lise")*(348.71/30*BK13)
+COUNTIF($A$1,"2S-İskele Görevlisi-Ortaokul")*(348.71/30*BK13)
+COUNTIF($A$1,"2S-İskele Görevlisi-İlkokul")*(348.71/30*BK13)
+COUNTIF($A$1,"Atölye-Formen")*(348.71/30*BK13)
+COUNTIF($A$1,"Atölye-Teknisyen")*(348.71/30*BK13)
+COUNTIF($A$1,"Atölye-Ustabaşı")*(348.71/30*BK13)
+COUNTIF($A$1,"Atölye-Usta")*(348.71/30*BK13)
+COUNTIF($A$1,"Atölye-İşçi")*(348.71/30*BK13)</f>
        <v>348.71</v>
      </c>
      <c r="BN13" s="24">
        <f>COUNTIF(G15,"Yok")*(0)
+COUNTIF(G15,"Bakırköy")*(115.36/30*H15)
+COUNTIF(G15,"Bandırma")*(115.36/30*H15)
+COUNTIF(G15,"Bostancı")*(520.17/30*H15)
+COUNTIF(G15,"Bursa")*(520.17/30*H15)
+COUNTIF(G15,"Eskihisar")*(635.52/30*H15)
+COUNTIF(G15,"Harem")*(520.17/30*H15)
+COUNTIF(G15,"Kabataş")*(520.17/30*H15)
+COUNTIF(G15,"Kadıköy")*(520.17/30*H15)
+COUNTIF(G15,"Pendik")*(520.17/30*H15)
+COUNTIF(G15,"Sirkeci")*(520.17/30*H15)
+COUNTIF(G15,"Topçular")*(635.52/30*H15)
+COUNTIF(G15,"Yalova")*(635.52/30*H15)
+COUNTIF(G15,"Yenikapı")*(635.52/30*H15)</f>
        <v>0</v>
      </c>
      <c r="BO13" s="21">
        <f>COUNTIF($A$1,"2S-Gişe Sorumlusu-Üniversite")*(13.1*I15)
+COUNTIF($A$1,"2S-Gişe Sorumlusu-MYO")*(13.1*I15)
+COUNTIF($A$1,"2S-Gişe Sorumlusu-Lise")*(13.1*I15)
+COUNTIF($A$1,"2S-Gişe Sorumlusu-Ortaokul")*(13.1*I15)
+COUNTIF($A$1,"2S-Gişe Sorumlusu-İlkokul")*(13.1*I15)
+COUNTIF($A$1,"2S-Gişe Görevlisi-Üniversite")*(13.1*I15)
+COUNTIF($A$1,"2S-Gişe Görevlisi-MYO")*(13.1*I15)
+COUNTIF($A$1,"2S-Gişe Görevlisi-Lise")*(13.1*I15)
+COUNTIF($A$1,"2S-Gişe Görevlisi-Ortaokul")*(13.1*I15)
+COUNTIF($A$1,"2S-Gişe Görevlisi-İlkokul")*(13.1*I15)
+COUNTIF($A$1,"2S-Terminal Görevlisi-Üniversite")*(13.1*I15)
+COUNTIF($A$1,"2S-Terminal Görevlisi-MYO")*(13.1*I15)
+COUNTIF($A$1,"2S-Terminal Görevlisi-Lise")*(13.1*I15)
+COUNTIF($A$1,"2S-Terminal Görevlisi-Ortaokul")*(13.1*I15)
+COUNTIF($A$1,"2S-Terminal Görevlisi-İlkokul")*(13.1*I15)
+COUNTIF($A$1,"2S-İskele Görevlisi-Üniversite")*(13.1*I15)
+COUNTIF($A$1,"2S-İskele Görevlisi-MYO")*(13.1*I15)
+COUNTIF($A$1,"2S-İskele Görevlisi-Lise")*(13.1*I15)
+COUNTIF($A$1,"2S-İskele Görevlisi-Ortaokul")*(13.1*I15)
+COUNTIF($A$1,"2S-İskele Görevlisi-İlkokul")*(13.1*I15)</f>
        <v>0</v>
      </c>
      <c r="BP13" s="21">
        <f ca="1">(BC18/CU18)</f>
        <v>0</v>
      </c>
      <c r="BU13" s="28" t="s">
        <v>69</v>
      </c>
      <c r="BV13" s="29">
        <v>1566.21</v>
      </c>
      <c r="BW13" s="29">
        <f t="shared" si="1"/>
        <v>0</v>
      </c>
      <c r="BX13" s="29">
        <f t="shared" si="2"/>
        <v>0</v>
      </c>
      <c r="BY13" s="29">
        <f ca="1">COUNTIF(M25,"Yok")*(0)
+COUNTIF(M25,"Askerlik Yardımı")*($BV$2*BJ9)
+COUNTIF(M25,"Cenaze Yardımı (Anne-Baba)")*($BV$3)
+COUNTIF(M25,"Cenaze Yardımı (Eş-Çocuk)")*($BV$4)
+COUNTIF(M25,"Cenaze Yardımı (İşçi-İş Kazası Sonucu)")*($BV$5)
+COUNTIF(M25,"Cenaze Yardımı (İşçi-Tabii Sebepler Sonucu)")*($BV$6)
+COUNTIF(M25,"Doğal Afet Yardımı")*($BV$7)
+COUNTIF(M25,"Eğitim Yardımı (Çocuk-İlköğretim)")*($BV$8*BJ9)
+COUNTIF(M25,"Eğitim Yardımı (Çocuk-Ortaöğretim)")*($BV$9*BJ9)
+COUNTIF(M25,"Eğitim Yardımı (Çocuk-Lise)")*($BV$10*BJ9)
+COUNTIF(M25,"Eğitim Yardımı (Çocuk-Yükseköğretim)")*($BV$11*BJ9)
+COUNTIF(M25,"Eğitim Yardımı (İşçi-Lise)")*($BV$12*BJ9)
+COUNTIF(M25,"Eğitim Yardımı (İşçi-Yükseköğretim)")*($BV$13*BJ9)
+COUNTIF(M25,"Evlilik Yardımı")*($BV$14)
+COUNTIF(M25,"Gıda Yardımı")*($BV$15*BJ9)
+COUNTIF(M25,"İş Kazası veya Meslek Hastalığı Tazminatı")*($BV$16)
+COUNTIF(M25,"Temizlik Yardımı")*($BV$17*BJ9)
+COUNTIF(N25,"Yok")*(0)
+COUNTIF(N25,"Askerlik Yardımı")*($BV$2*BJ9)
+COUNTIF(N25,"Cenaze Yardımı (Anne-Baba)")*($BV$3)
+COUNTIF(N25,"Cenaze Yardımı (Eş-Çocuk)")*($BV$4)
+COUNTIF(N25,"Cenaze Yardımı (İşçi-İş Kazası Sonucu)")*($BV$5)
+COUNTIF(N25,"Cenaze Yardımı (İşçi-Tabii Sebepler Sonucu)")*($BV$6)
+COUNTIF(N25,"Doğal Afet Yardımı")*($BV$7)
+COUNTIF(N25,"Eğitim Yardımı (Çocuk-İlköğretim)")*($BV$8*BJ9)
+COUNTIF(N25,"Eğitim Yardımı (Çocuk-Ortaöğretim)")*($BV$9*BJ9)
+COUNTIF(N25,"Eğitim Yardımı (Çocuk-Lise)")*($BV$10*BJ9)
+COUNTIF(N25,"Eğitim Yardımı (Çocuk-Yükseköğretim)")*($BV$11*BJ9)
+COUNTIF(N25,"Eğitim Yardımı (İşçi-Lise)")*($BV$12*BJ9)
+COUNTIF(N25,"Eğitim Yardımı (İşçi-Yükseköğretim)")*($BV$13*BJ9)
+COUNTIF(N25,"Evlilik Yardımı")*($BV$14)
+COUNTIF(N25,"Gıda Yardımı")*($BV$15*BJ9)
+COUNTIF(N25,"İş Kazası veya Meslek Hastalığı Tazminatı")*($BV$16)
+COUNTIF(N25,"Temizlik Yardımı")*($BV$17*BJ9)
+COUNTIF(O25,"Yok")*(0)
+COUNTIF(O25,"Askerlik Yardımı")*($BV$2*BJ9)
+COUNTIF(O25,"Cenaze Yardımı (Anne-Baba)")*($BV$3)
+COUNTIF(O25,"Cenaze Yardımı (Eş-Çocuk)")*($BV$4)
+COUNTIF(O25,"Cenaze Yardımı (İşçi-İş Kazası Sonucu)")*($BV$5)
+COUNTIF(O25,"Cenaze Yardımı (İşçi-Tabii Sebepler Sonucu)")*($BV$6)
+COUNTIF(O25,"Doğal Afet Yardımı")*($BV$7)
+COUNTIF(O25,"Eğitim Yardımı (Çocuk-İlköğretim)")*($BV$8*BJ9)
+COUNTIF(O25,"Eğitim Yardımı (Çocuk-Ortaöğretim)")*($BV$9*BJ9)
+COUNTIF(O25,"Eğitim Yardımı (Çocuk-Lise)")*($BV$10*BJ9)
+COUNTIF(O25,"Eğitim Yardımı (Çocuk-Yükseköğretim)")*($BV$11*BJ9)
+COUNTIF(O25,"Eğitim Yardımı (İşçi-Lise)")*($BV$12*BJ9)
+COUNTIF(O25,"Eğitim Yardımı (İşçi-Yükseköğretim)")*($BV$13*BJ9)
+COUNTIF(O25,"Evlilik Yardımı")*($BV$14)
+COUNTIF(O25,"Gıda Yardımı")*($BV$15*BJ9)
+COUNTIF(O25,"İş Kazası veya Meslek Hastalığı Tazminatı")*($BV$16)
+COUNTIF(O25,"Temizlik Yardımı")*($BV$17*BJ9)</f>
        <v>0</v>
      </c>
      <c r="BZ13" s="33" t="s">
        <v>11</v>
      </c>
      <c r="CA13" s="21">
        <f ca="1">COUNTIF(BZ13,"Var")*(AO11*0.9*-1)</f>
        <v>-224.31915501460253</v>
      </c>
      <c r="CB13" s="21">
        <f t="shared" ca="1" si="8"/>
        <v>224.31915501460253</v>
      </c>
      <c r="CC13" s="29">
        <f ca="1">(CH25*P25+CD13)*-1</f>
        <v>0</v>
      </c>
      <c r="CD13" s="29">
        <f ca="1">(AW11+AY11+BA11-BF11)*(P25*-1)</f>
        <v>0</v>
      </c>
      <c r="CE13" s="29">
        <f t="shared" ca="1" si="9"/>
        <v>0</v>
      </c>
      <c r="CF13" s="21" t="s">
        <v>0</v>
      </c>
      <c r="CG13" s="21">
        <f>(6471)</f>
        <v>6471</v>
      </c>
      <c r="CH13" s="21">
        <f>(6471)</f>
        <v>6471</v>
      </c>
      <c r="CI13" s="21">
        <f t="shared" si="10"/>
        <v>0</v>
      </c>
      <c r="CJ13" s="21">
        <f t="shared" si="11"/>
        <v>0</v>
      </c>
      <c r="CK13" s="21">
        <f>(0)</f>
        <v>0</v>
      </c>
      <c r="CL13" s="21">
        <f t="shared" si="12"/>
        <v>6471</v>
      </c>
      <c r="CM13" s="21">
        <f t="shared" si="13"/>
        <v>-905.94</v>
      </c>
      <c r="CN13" s="21">
        <f t="shared" si="14"/>
        <v>-64.710000000000008</v>
      </c>
      <c r="CO13" s="21" t="s">
        <v>0</v>
      </c>
      <c r="CP13" s="21" t="s">
        <v>0</v>
      </c>
      <c r="CQ13" s="21" t="s">
        <v>0</v>
      </c>
      <c r="CR13" s="21" t="s">
        <v>0</v>
      </c>
      <c r="CS13" s="21">
        <f>(0)</f>
        <v>0</v>
      </c>
      <c r="CT13" s="21">
        <f t="shared" si="4"/>
        <v>5500.3499999999995</v>
      </c>
      <c r="CU13" s="21">
        <f>SUM(CT$3:$CT13)</f>
        <v>53022.149999999994</v>
      </c>
      <c r="CV13" s="30">
        <f t="shared" si="5"/>
        <v>0.2</v>
      </c>
      <c r="CW13" s="33">
        <f t="shared" si="15"/>
        <v>0</v>
      </c>
      <c r="CX13" s="35">
        <f>IF(CW13=0,CV13,(VLOOKUP($CV13,$CO$3:$CR$7,2,0)-CU12)/CT13*CV12+(CU13-VLOOKUP($CV13,$CO$3:$CR$7,2,0))/CT13*CV13)</f>
        <v>0.2</v>
      </c>
      <c r="CY13" s="21">
        <f t="shared" si="18"/>
        <v>1100.07</v>
      </c>
      <c r="CZ13" s="35">
        <f t="shared" si="16"/>
        <v>0.80240999999999996</v>
      </c>
      <c r="DA13" s="21">
        <f t="shared" si="6"/>
        <v>6471</v>
      </c>
      <c r="DB13" s="21">
        <f t="shared" si="7"/>
        <v>5500.3499999999995</v>
      </c>
      <c r="DC13" s="27">
        <v>11</v>
      </c>
      <c r="DD13" s="31">
        <v>5.5</v>
      </c>
      <c r="DE13" s="32">
        <v>0.13</v>
      </c>
      <c r="DF13" s="42"/>
    </row>
    <row r="14" spans="1:110" ht="39.950000000000003" customHeight="1" x14ac:dyDescent="0.25">
      <c r="A14" s="68"/>
      <c r="B14" s="69"/>
      <c r="C14" s="61"/>
      <c r="D14" s="61"/>
      <c r="E14" s="70"/>
      <c r="F14" s="61"/>
      <c r="G14" s="61"/>
      <c r="H14" s="61"/>
      <c r="I14" s="61"/>
      <c r="J14" s="61"/>
      <c r="K14" s="61"/>
      <c r="L14" s="61"/>
      <c r="M14" s="61"/>
      <c r="N14" s="61"/>
      <c r="O14" s="61"/>
      <c r="P14" s="61"/>
      <c r="Q14" s="61"/>
      <c r="R14" s="61"/>
      <c r="S14" s="72"/>
      <c r="T14" s="44" t="s">
        <v>39</v>
      </c>
      <c r="U14" s="45">
        <f t="shared" ca="1" si="27"/>
        <v>2301.3024396158949</v>
      </c>
      <c r="V14" s="45">
        <f ca="1">COUNTIF(W1,"Ocak")*(CA3)*-1
+COUNTIF(W1,"Şubat")*(CA4)*-1
+COUNTIF(W1,"Mart")*(BG4)*-1
+COUNTIF(W1,"Nisan")*(BG5)*-1
+COUNTIF(W1,"Mayıs")*(BG6)*-1
+COUNTIF(W1,"Haziran")*(BG7)*-1
+COUNTIF(W1,"Temmuz")*(CA9)*-1
+COUNTIF(W1,"Ağustos")*(CA10)*-1
+COUNTIF(W1,"Eylül")*(CA11)*-1
+COUNTIF(W1,"Ekim")*(CA12)*-1
+COUNTIF(W1,"Kasım")*(CA13)*-1
+COUNTIF(W1,"Aralık")*(CA14)*-1
+COUNTIF(W1,"Yıllık Toplam")*(CA15)*-1
+COUNTIF(W1,"Yıllık Ortalama")*(CA16)*-1</f>
        <v>2301.3024396158949</v>
      </c>
      <c r="W14" s="71"/>
      <c r="X14" s="65"/>
      <c r="Y14" s="49" t="s">
        <v>49</v>
      </c>
      <c r="Z14" s="50" t="s">
        <v>157</v>
      </c>
      <c r="AA14" s="54"/>
      <c r="AB14" s="55"/>
      <c r="AC14" s="57"/>
      <c r="AD14" s="56"/>
      <c r="AE14" s="20" t="s">
        <v>94</v>
      </c>
      <c r="AF14" s="21">
        <v>182.25</v>
      </c>
      <c r="AG14" s="21">
        <v>207.57</v>
      </c>
      <c r="AH14" s="22">
        <f>(AI13+1)</f>
        <v>44593</v>
      </c>
      <c r="AI14" s="22">
        <f t="shared" si="28"/>
        <v>44620</v>
      </c>
      <c r="AJ14" s="23">
        <f t="shared" ref="AJ14:AJ15" si="29">DAY(AI14)</f>
        <v>28</v>
      </c>
      <c r="AK14" s="23">
        <f t="shared" ref="AK14:AK15" si="30">NETWORKDAYS.INTL(AH14,AI14,11)</f>
        <v>24</v>
      </c>
      <c r="AL14" s="23">
        <f t="shared" ref="AL14:AL15" si="31">(AJ14-AK14)</f>
        <v>4</v>
      </c>
      <c r="AM14" s="24">
        <f ca="1">(AN14/CU19)</f>
        <v>209.11723153963433</v>
      </c>
      <c r="AN14"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14" s="24">
        <f ca="1">(AP14+CB19/AJ14*-1+CR19/AJ14*-1)/(CU19)</f>
        <v>175.34722852227151</v>
      </c>
      <c r="AP14"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14" s="24">
        <f ca="1">(BA17/CU19)</f>
        <v>209.11723153963433</v>
      </c>
      <c r="AR14" s="21">
        <f>(BK17)</f>
        <v>840</v>
      </c>
      <c r="AS14" s="21">
        <f ca="1">ROUND((AR14+AT14*-1+AW14*-1+AX14*-1+BA14*-1),2)</f>
        <v>1139.27</v>
      </c>
      <c r="AT14" s="21">
        <f ca="1">(AS14*0.00759*-1)</f>
        <v>-8.6470593000000004</v>
      </c>
      <c r="AU14" s="21">
        <f>(10.01*F16)</f>
        <v>200.2</v>
      </c>
      <c r="AV14" s="21">
        <f ca="1">(AS14-AU14)</f>
        <v>939.06999999999994</v>
      </c>
      <c r="AW14" s="21">
        <f ca="1">(AV14*0.14*-1)</f>
        <v>-131.46979999999999</v>
      </c>
      <c r="AX14" s="21">
        <f ca="1">(AV14*0.01*-1)</f>
        <v>-9.3906999999999989</v>
      </c>
      <c r="AY14" s="21">
        <f>(0)</f>
        <v>0</v>
      </c>
      <c r="AZ14" s="21">
        <f ca="1">(AS14+AW14+AX14-AY14)</f>
        <v>998.40949999999998</v>
      </c>
      <c r="BA14" s="21">
        <f ca="1">(AZ14*CP19*-1)</f>
        <v>-149.761425</v>
      </c>
      <c r="BB14" s="26">
        <v>30</v>
      </c>
      <c r="BC14" s="21">
        <f ca="1">(BD14/CU19)</f>
        <v>601.4743114517911</v>
      </c>
      <c r="BD14" s="21">
        <f t="shared" ref="BD14:BD15" si="32">(430/30*BB14)</f>
        <v>430</v>
      </c>
      <c r="BE14" s="21">
        <f>(0)</f>
        <v>0</v>
      </c>
      <c r="BF14" s="21">
        <f>(0)</f>
        <v>0</v>
      </c>
      <c r="BG14" s="21">
        <f>(0)</f>
        <v>0</v>
      </c>
      <c r="BH14" s="26">
        <v>0</v>
      </c>
      <c r="BI14" s="21">
        <f ca="1">(BJ14/CU19)</f>
        <v>0</v>
      </c>
      <c r="BJ14" s="21">
        <f>(BA17*BH14)</f>
        <v>0</v>
      </c>
      <c r="BK14" s="26">
        <v>30</v>
      </c>
      <c r="BL14" s="21">
        <f ca="1">(BM14/CU19)</f>
        <v>487.76769103803269</v>
      </c>
      <c r="BM14" s="21">
        <f>COUNTIF($A$1,"1S-Makine ve Elektrik Teknisyenleri-Üniversite")*(566.31/30*BK14)
+COUNTIF($A$1,"1S-Makine ve Elektrik Teknisyenleri-MYO")*(566.31/30*BK14)
+COUNTIF($A$1,"1S-Makine ve Elektrik Teknisyenleri-Lise")*(566.31/30*BK14)
+COUNTIF($A$1,"1S-Makine ve Elektrik Teknisyenleri-Ortaokul")*(566.31/30*BK14)
+COUNTIF($A$1,"1S-Makine ve Elektrik Teknisyenleri-İlkokul")*(566.31/30*BK14)
+COUNTIF($A$1,"1S-Yakıt Elemanı-Üniversite")*(566.31/30*BK14)
+COUNTIF($A$1,"1S-Yakıt Elemanı-MYO")*(566.31/30*BK14)
+COUNTIF($A$1,"1S-Yakıt Elemanı-Lise")*(566.31/30*BK14)
+COUNTIF($A$1,"1S-Yakıt Elemanı-Ortaokul")*(566.31/30*BK14)
+COUNTIF($A$1,"1S-Yakıt Elemanı-İlkokul")*(566.31/30*BK14)
+COUNTIF($A$1,"1S-Tanker Şoförü-Üniversite")*(566.31/30*BK14)
+COUNTIF($A$1,"1S-Tanker Şoförü-MYO")*(566.31/30*BK14)
+COUNTIF($A$1,"1S-Tanker Şoförü-Lise")*(566.31/30*BK14)
+COUNTIF($A$1,"1S-Tanker Şoförü-Ortaokul")*(566.31/30*BK14)
+COUNTIF($A$1,"1S-Tanker Şoförü-İlkokul")*(566.31/30*BK14)
+COUNTIF($A$1,"1S-Vinç Operatörü-Üniversite")*(566.31/30*BK14)
+COUNTIF($A$1,"1S-Vinç Operatörü-MYO")*(566.31/30*BK14)
+COUNTIF($A$1,"1S-Vinç Operatörü-Lise")*(566.31/30*BK14)
+COUNTIF($A$1,"1S-Vinç Operatörü-Ortaokul")*(566.31/30*BK14)
+COUNTIF($A$1,"1S-Vinç Operatörü-İlkokul")*(566.31/30*BK14)
+COUNTIF($A$1,"1S-Rampa Görevlisi-Üniversite")*(566.31/30*BK14)
+COUNTIF($A$1,"1S-Rampa Görevlisi-MYO")*(566.31/30*BK14)
+COUNTIF($A$1,"1S-Rampa Görevlisi-Lise")*(566.31/30*BK14)
+COUNTIF($A$1,"1S-Rampa Görevlisi-Ortaokul")*(566.31/30*BK14)
+COUNTIF($A$1,"1S-Rampa Görevlisi-İlkokul")*(566.31/30*BK14)
+COUNTIF($A$1,"1S-Yakıt Hizmetlisi-Üniversite")*(566.31/30*BK14)
+COUNTIF($A$1,"1S-Yakıt Hizmetlisi-MYO")*(566.31/30*BK14)
+COUNTIF($A$1,"1S-Yakıt Hizmetlisi-Lise")*(566.31/30*BK14)
+COUNTIF($A$1,"1S-Yakıt Hizmetlisi-Ortaokul")*(566.31/30*BK14)
+COUNTIF($A$1,"1S-Yakıt Hizmetlisi-İlkokul")*(566.31/30*BK14)
+COUNTIF($A$1,"2S-Rampa Görevlisi-Üniversite")*(348.71/30*BK14)
+COUNTIF($A$1,"2S-Rampa Görevlisi-MYO")*(348.71/30*BK14)
+COUNTIF($A$1,"2S-Rampa Görevlisi-Lise")*(348.71/30*BK14)
+COUNTIF($A$1,"2S-Rampa Görevlisi-Ortaokul")*(348.71/30*BK14)
+COUNTIF($A$1,"2S-Rampa Görevlisi-İlkokul")*(348.71/30*BK14)
+COUNTIF($A$1,"2S-Hizmetliler-Üniversite")*(348.71/30*BK14)
+COUNTIF($A$1,"2S-Hizmetliler-MYO")*(348.71/30*BK14)
+COUNTIF($A$1,"2S-Hizmetliler-Lise")*(348.71/30*BK14)
+COUNTIF($A$1,"2S-Hizmetliler-Ortaokul")*(348.71/30*BK14)
+COUNTIF($A$1,"2S-Hizmetliler-İlkokul")*(348.71/30*BK14)
+COUNTIF($A$1,"2S-Çaycı-Üniversite")*(348.71/30*BK14)
+COUNTIF($A$1,"2S-Çaycı-MYO")*(348.71/30*BK14)
+COUNTIF($A$1,"2S-Çaycı-Lise")*(348.71/30*BK14)
+COUNTIF($A$1,"2S-Çaycı-Ortaokul")*(348.71/30*BK14)
+COUNTIF($A$1,"2S-Çaycı-İlkokul")*(348.71/30*BK14)
+COUNTIF($A$1,"2S-Gişe Sorumlusu-Üniversite")*(348.71/30*BK14)
+COUNTIF($A$1,"2S-Gişe Sorumlusu-MYO")*(348.71/30*BK14)
+COUNTIF($A$1,"2S-Gişe Sorumlusu-Lise")*(348.71/30*BK14)
+COUNTIF($A$1,"2S-Gişe Sorumlusu-Ortaokul")*(348.71/30*BK14)
+COUNTIF($A$1,"2S-Gişe Sorumlusu-İlkokul")*(348.71/30*BK14)
+COUNTIF($A$1,"2S-Gişe Görevlisi-Üniversite")*(348.71/30*BK14)
+COUNTIF($A$1,"2S-Gişe Görevlisi-MYO")*(348.71/30*BK14)
+COUNTIF($A$1,"2S-Gişe Görevlisi-Lise")*(348.71/30*BK14)
+COUNTIF($A$1,"2S-Gişe Görevlisi-Ortaokul")*(348.71/30*BK14)
+COUNTIF($A$1,"2S-Gişe Görevlisi-İlkokul")*(348.71/30*BK14)
+COUNTIF($A$1,"2S-Terminal Görevlisi-Üniversite")*(348.71/30*BK14)
+COUNTIF($A$1,"2S-Terminal Görevlisi-MYO")*(348.71/30*BK14)
+COUNTIF($A$1,"2S-Terminal Görevlisi-Lise")*(348.71/30*BK14)
+COUNTIF($A$1,"2S-Terminal Görevlisi-Ortaokul")*(348.71/30*BK14)
+COUNTIF($A$1,"2S-Terminal Görevlisi-İlkokul")*(348.71/30*BK14)
+COUNTIF($A$1,"2S-İskele Görevlisi-Üniversite")*(348.71/30*BK14)
+COUNTIF($A$1,"2S-İskele Görevlisi-MYO")*(348.71/30*BK14)
+COUNTIF($A$1,"2S-İskele Görevlisi-Lise")*(348.71/30*BK14)
+COUNTIF($A$1,"2S-İskele Görevlisi-Ortaokul")*(348.71/30*BK14)
+COUNTIF($A$1,"2S-İskele Görevlisi-İlkokul")*(348.71/30*BK14)
+COUNTIF($A$1,"Atölye-Formen")*(348.71/30*BK14)
+COUNTIF($A$1,"Atölye-Teknisyen")*(348.71/30*BK14)
+COUNTIF($A$1,"Atölye-Ustabaşı")*(348.71/30*BK14)
+COUNTIF($A$1,"Atölye-Usta")*(348.71/30*BK14)
+COUNTIF($A$1,"Atölye-İşçi")*(348.71/30*BK14)</f>
        <v>348.71</v>
      </c>
      <c r="BN14" s="24">
        <f>COUNTIF(G16,"Yok")*(0)
+COUNTIF(G16,"Bakırköy")*(115.36/30*H16)
+COUNTIF(G16,"Bandırma")*(115.36/30*H16)
+COUNTIF(G16,"Bostancı")*(520.17/30*H16)
+COUNTIF(G16,"Bursa")*(520.17/30*H16)
+COUNTIF(G16,"Eskihisar")*(635.52/30*H16)
+COUNTIF(G16,"Harem")*(520.17/30*H16)
+COUNTIF(G16,"Kabataş")*(520.17/30*H16)
+COUNTIF(G16,"Kadıköy")*(520.17/30*H16)
+COUNTIF(G16,"Pendik")*(520.17/30*H16)
+COUNTIF(G16,"Sirkeci")*(520.17/30*H16)
+COUNTIF(G16,"Topçular")*(635.52/30*H16)
+COUNTIF(G16,"Yalova")*(635.52/30*H16)
+COUNTIF(G16,"Yenikapı")*(635.52/30*H16)</f>
        <v>0</v>
      </c>
      <c r="BU14" s="28" t="s">
        <v>10</v>
      </c>
      <c r="BV14" s="29">
        <v>1213.28</v>
      </c>
      <c r="BW14" s="29">
        <f t="shared" si="1"/>
        <v>0</v>
      </c>
      <c r="BX14" s="29">
        <f t="shared" si="2"/>
        <v>0</v>
      </c>
      <c r="BY14" s="29">
        <f ca="1">COUNTIF(M26,"Yok")*(0)
+COUNTIF(M26,"Askerlik Yardımı")*($BV$2*BJ10)
+COUNTIF(M26,"Cenaze Yardımı (Anne-Baba)")*($BV$3)
+COUNTIF(M26,"Cenaze Yardımı (Eş-Çocuk)")*($BV$4)
+COUNTIF(M26,"Cenaze Yardımı (İşçi-İş Kazası Sonucu)")*($BV$5)
+COUNTIF(M26,"Cenaze Yardımı (İşçi-Tabii Sebepler Sonucu)")*($BV$6)
+COUNTIF(M26,"Doğal Afet Yardımı")*($BV$7)
+COUNTIF(M26,"Eğitim Yardımı (Çocuk-İlköğretim)")*($BV$8*BJ10)
+COUNTIF(M26,"Eğitim Yardımı (Çocuk-Ortaöğretim)")*($BV$9*BJ10)
+COUNTIF(M26,"Eğitim Yardımı (Çocuk-Lise)")*($BV$10*BJ10)
+COUNTIF(M26,"Eğitim Yardımı (Çocuk-Yükseköğretim)")*($BV$11*BJ10)
+COUNTIF(M26,"Eğitim Yardımı (İşçi-Lise)")*($BV$12*BJ10)
+COUNTIF(M26,"Eğitim Yardımı (İşçi-Yükseköğretim)")*($BV$13*BJ10)
+COUNTIF(M26,"Evlilik Yardımı")*($BV$14)
+COUNTIF(M26,"Gıda Yardımı")*($BV$15*BJ10)
+COUNTIF(M26,"İş Kazası veya Meslek Hastalığı Tazminatı")*($BV$16)
+COUNTIF(M26,"Temizlik Yardımı")*($BV$17*BJ10)
+COUNTIF(N26,"Yok")*(0)
+COUNTIF(N26,"Askerlik Yardımı")*($BV$2*BJ10)
+COUNTIF(N26,"Cenaze Yardımı (Anne-Baba)")*($BV$3)
+COUNTIF(N26,"Cenaze Yardımı (Eş-Çocuk)")*($BV$4)
+COUNTIF(N26,"Cenaze Yardımı (İşçi-İş Kazası Sonucu)")*($BV$5)
+COUNTIF(N26,"Cenaze Yardımı (İşçi-Tabii Sebepler Sonucu)")*($BV$6)
+COUNTIF(N26,"Doğal Afet Yardımı")*($BV$7)
+COUNTIF(N26,"Eğitim Yardımı (Çocuk-İlköğretim)")*($BV$8*BJ10)
+COUNTIF(N26,"Eğitim Yardımı (Çocuk-Ortaöğretim)")*($BV$9*BJ10)
+COUNTIF(N26,"Eğitim Yardımı (Çocuk-Lise)")*($BV$10*BJ10)
+COUNTIF(N26,"Eğitim Yardımı (Çocuk-Yükseköğretim)")*($BV$11*BJ10)
+COUNTIF(N26,"Eğitim Yardımı (İşçi-Lise)")*($BV$12*BJ10)
+COUNTIF(N26,"Eğitim Yardımı (İşçi-Yükseköğretim)")*($BV$13*BJ10)
+COUNTIF(N26,"Evlilik Yardımı")*($BV$14)
+COUNTIF(N26,"Gıda Yardımı")*($BV$15*BJ10)
+COUNTIF(N26,"İş Kazası veya Meslek Hastalığı Tazminatı")*($BV$16)
+COUNTIF(N26,"Temizlik Yardımı")*($BV$17*BJ10)
+COUNTIF(O26,"Yok")*(0)
+COUNTIF(O26,"Askerlik Yardımı")*($BV$2*BJ10)
+COUNTIF(O26,"Cenaze Yardımı (Anne-Baba)")*($BV$3)
+COUNTIF(O26,"Cenaze Yardımı (Eş-Çocuk)")*($BV$4)
+COUNTIF(O26,"Cenaze Yardımı (İşçi-İş Kazası Sonucu)")*($BV$5)
+COUNTIF(O26,"Cenaze Yardımı (İşçi-Tabii Sebepler Sonucu)")*($BV$6)
+COUNTIF(O26,"Doğal Afet Yardımı")*($BV$7)
+COUNTIF(O26,"Eğitim Yardımı (Çocuk-İlköğretim)")*($BV$8*BJ10)
+COUNTIF(O26,"Eğitim Yardımı (Çocuk-Ortaöğretim)")*($BV$9*BJ10)
+COUNTIF(O26,"Eğitim Yardımı (Çocuk-Lise)")*($BV$10*BJ10)
+COUNTIF(O26,"Eğitim Yardımı (Çocuk-Yükseköğretim)")*($BV$11*BJ10)
+COUNTIF(O26,"Eğitim Yardımı (İşçi-Lise)")*($BV$12*BJ10)
+COUNTIF(O26,"Eğitim Yardımı (İşçi-Yükseköğretim)")*($BV$13*BJ10)
+COUNTIF(O26,"Evlilik Yardımı")*($BV$14)
+COUNTIF(O26,"Gıda Yardımı")*($BV$15*BJ10)
+COUNTIF(O26,"İş Kazası veya Meslek Hastalığı Tazminatı")*($BV$16)
+COUNTIF(O26,"Temizlik Yardımı")*($BV$17*BJ10)</f>
        <v>0</v>
      </c>
      <c r="BZ14" s="33" t="s">
        <v>11</v>
      </c>
      <c r="CA14" s="21">
        <f ca="1">COUNTIF(BZ14,"Var")*(AO12*0.9*-1)</f>
        <v>-226.13363741769172</v>
      </c>
      <c r="CB14" s="21">
        <f t="shared" ca="1" si="8"/>
        <v>226.13363741769172</v>
      </c>
      <c r="CC14" s="29">
        <f ca="1">(CH26*P26+CD14)*-1</f>
        <v>0</v>
      </c>
      <c r="CD14" s="29">
        <f ca="1">(AW12+AY12+BA12-BF12)*(P26*-1)</f>
        <v>0</v>
      </c>
      <c r="CE14" s="29">
        <f t="shared" ca="1" si="9"/>
        <v>0</v>
      </c>
      <c r="CF14" s="21" t="s">
        <v>0</v>
      </c>
      <c r="CG14" s="21">
        <f>(6471)</f>
        <v>6471</v>
      </c>
      <c r="CH14" s="21">
        <f>(6471)</f>
        <v>6471</v>
      </c>
      <c r="CI14" s="21">
        <f t="shared" si="10"/>
        <v>0</v>
      </c>
      <c r="CJ14" s="21">
        <f t="shared" si="11"/>
        <v>0</v>
      </c>
      <c r="CK14" s="21">
        <f>(0)</f>
        <v>0</v>
      </c>
      <c r="CL14" s="21">
        <f t="shared" si="12"/>
        <v>6471</v>
      </c>
      <c r="CM14" s="21">
        <f t="shared" si="13"/>
        <v>-905.94</v>
      </c>
      <c r="CN14" s="21">
        <f t="shared" si="14"/>
        <v>-64.710000000000008</v>
      </c>
      <c r="CO14" s="21" t="s">
        <v>0</v>
      </c>
      <c r="CP14" s="21" t="s">
        <v>0</v>
      </c>
      <c r="CQ14" s="21" t="s">
        <v>0</v>
      </c>
      <c r="CR14" s="21" t="s">
        <v>0</v>
      </c>
      <c r="CS14" s="21">
        <f>(0)</f>
        <v>0</v>
      </c>
      <c r="CT14" s="21">
        <f t="shared" si="4"/>
        <v>5500.3499999999995</v>
      </c>
      <c r="CU14" s="21">
        <f>SUM(CT$3:$CT14)</f>
        <v>58522.499999999993</v>
      </c>
      <c r="CV14" s="30">
        <f t="shared" si="5"/>
        <v>0.2</v>
      </c>
      <c r="CW14" s="33">
        <f t="shared" si="15"/>
        <v>0</v>
      </c>
      <c r="CX14" s="35">
        <f>IF(CW14=0,CV14,(VLOOKUP($CV14,$CO$3:$CR$7,2,0)-CU13)/CT14*CV13+(CU14-VLOOKUP($CV14,$CO$3:$CR$7,2,0))/CT14*CV14)</f>
        <v>0.2</v>
      </c>
      <c r="CY14" s="21">
        <f t="shared" si="18"/>
        <v>1100.07</v>
      </c>
      <c r="CZ14" s="35">
        <f t="shared" si="16"/>
        <v>0.80240999999999996</v>
      </c>
      <c r="DA14" s="21">
        <f t="shared" si="6"/>
        <v>6471</v>
      </c>
      <c r="DB14" s="21">
        <f t="shared" si="7"/>
        <v>5500.3499999999995</v>
      </c>
      <c r="DC14" s="27">
        <v>12</v>
      </c>
      <c r="DD14" s="31">
        <v>6</v>
      </c>
      <c r="DE14" s="32">
        <v>0.14000000000000001</v>
      </c>
      <c r="DF14" s="42"/>
    </row>
    <row r="15" spans="1:110" ht="39.950000000000003" customHeight="1" x14ac:dyDescent="0.25">
      <c r="A15" s="3">
        <f t="shared" ref="A15:A26" ca="1" si="33">(CP18)</f>
        <v>0.15</v>
      </c>
      <c r="B15" s="5" t="s">
        <v>12</v>
      </c>
      <c r="C15" s="14">
        <v>0</v>
      </c>
      <c r="D15" s="15">
        <v>0</v>
      </c>
      <c r="E15" s="15">
        <v>0</v>
      </c>
      <c r="F15" s="14">
        <v>20</v>
      </c>
      <c r="G15" s="16" t="s">
        <v>1</v>
      </c>
      <c r="H15" s="14">
        <v>0</v>
      </c>
      <c r="I15" s="14">
        <v>0</v>
      </c>
      <c r="J15" s="14">
        <v>0</v>
      </c>
      <c r="K15" s="14">
        <v>0</v>
      </c>
      <c r="L15" s="14">
        <v>0</v>
      </c>
      <c r="M15" s="17" t="s">
        <v>1</v>
      </c>
      <c r="N15" s="17" t="s">
        <v>1</v>
      </c>
      <c r="O15" s="17" t="s">
        <v>1</v>
      </c>
      <c r="P15" s="18">
        <v>0</v>
      </c>
      <c r="Q15" s="6">
        <f ca="1">(BY18+CA3+CC3-CE18-CI18-CJ18-CS18-R15)</f>
        <v>5276.5662360026363</v>
      </c>
      <c r="R15" s="6">
        <f ca="1">(BG16+BI16+BK16+CD3)</f>
        <v>840</v>
      </c>
      <c r="S15" s="7">
        <f ca="1">(Q15+R15)</f>
        <v>6116.5662360026363</v>
      </c>
      <c r="T15" s="44" t="s">
        <v>33</v>
      </c>
      <c r="U15" s="45">
        <f t="shared" ca="1" si="27"/>
        <v>0</v>
      </c>
      <c r="V15" s="45">
        <f ca="1">COUNTIF(W1,"Ocak")*(CE3)*-1
+COUNTIF(W1,"Şubat")*(CE4)*-1
+COUNTIF(W1,"Mart")*(BK4)*-1
+COUNTIF(W1,"Nisan")*(BK5)*-1
+COUNTIF(W1,"Mayıs")*(BK6)*-1
+COUNTIF(W1,"Haziran")*(BK7)*-1
+COUNTIF(W1,"Temmuz")*(CE9)*-1
+COUNTIF(W1,"Ağustos")*(CE10)*-1
+COUNTIF(W1,"Eylül")*(CE11)*-1
+COUNTIF(W1,"Ekim")*(CE12)*-1
+COUNTIF(W1,"Kasım")*(CE13)*-1
+COUNTIF(W1,"Aralık")*(CE14)*-1
+COUNTIF(W1,"Yıllık Toplam")*(CE15)*-1
+COUNTIF(W1,"Yıllık Ortalama")*(CE16)*-1</f>
        <v>0</v>
      </c>
      <c r="W15" s="71"/>
      <c r="X15" s="65"/>
      <c r="Y15" s="47" t="s">
        <v>0</v>
      </c>
      <c r="Z15" s="51" t="s">
        <v>0</v>
      </c>
      <c r="AA15" s="54"/>
      <c r="AB15" s="55"/>
      <c r="AC15" s="57"/>
      <c r="AD15" s="56"/>
      <c r="AE15" s="20" t="s">
        <v>95</v>
      </c>
      <c r="AF15" s="21">
        <v>182</v>
      </c>
      <c r="AG15" s="21">
        <v>206.57</v>
      </c>
      <c r="AH15" s="22">
        <f t="shared" ref="AH15" si="34">(AI14+1)</f>
        <v>44621</v>
      </c>
      <c r="AI15" s="22">
        <f t="shared" si="28"/>
        <v>44651</v>
      </c>
      <c r="AJ15" s="23">
        <f t="shared" si="29"/>
        <v>31</v>
      </c>
      <c r="AK15" s="23">
        <f t="shared" si="30"/>
        <v>27</v>
      </c>
      <c r="AL15" s="23">
        <f t="shared" si="31"/>
        <v>4</v>
      </c>
      <c r="AM15" s="24">
        <f ca="1">(AN15/CU20)</f>
        <v>209.11723153963433</v>
      </c>
      <c r="AN15"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O15" s="24">
        <f ca="1">(AP15+CB20/AJ15*-1+CR20/AJ15*-1)/(CU20)</f>
        <v>178.61529333040343</v>
      </c>
      <c r="AP15"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Q15" s="24">
        <f ca="1">(AR18/CU20)</f>
        <v>209.11723153963433</v>
      </c>
      <c r="AR15" s="21">
        <f>(BB18)</f>
        <v>840</v>
      </c>
      <c r="AS15" s="21">
        <f ca="1">ROUND((AR15+AT15*-1+AW15*-1+AX15*-1+BA15*-1),2)</f>
        <v>1139.27</v>
      </c>
      <c r="AT15" s="21">
        <f ca="1">(AS15*0.00759*-1)</f>
        <v>-8.6470593000000004</v>
      </c>
      <c r="AU15" s="21">
        <f>(10.01*F17)</f>
        <v>200.2</v>
      </c>
      <c r="AV15" s="21">
        <f ca="1">(AS15-AU15)</f>
        <v>939.06999999999994</v>
      </c>
      <c r="AW15" s="21">
        <f ca="1">(AV15*0.14*-1)</f>
        <v>-131.46979999999999</v>
      </c>
      <c r="AX15" s="21">
        <f ca="1">(AV15*0.01*-1)</f>
        <v>-9.3906999999999989</v>
      </c>
      <c r="AY15" s="21">
        <f>(0)</f>
        <v>0</v>
      </c>
      <c r="AZ15" s="21">
        <f ca="1">(AS15+AW15+AX15-AY15)</f>
        <v>998.40949999999998</v>
      </c>
      <c r="BA15" s="21">
        <f ca="1">(AZ15*CP20*-1)</f>
        <v>-149.761425</v>
      </c>
      <c r="BB15" s="26">
        <v>30</v>
      </c>
      <c r="BC15" s="21">
        <f ca="1">(BD15/CU20)</f>
        <v>601.4743114517911</v>
      </c>
      <c r="BD15" s="21">
        <f t="shared" si="32"/>
        <v>430</v>
      </c>
      <c r="BE15" s="21">
        <f>(0)</f>
        <v>0</v>
      </c>
      <c r="BF15" s="21">
        <f>(0)</f>
        <v>0</v>
      </c>
      <c r="BG15" s="21">
        <f>(0)</f>
        <v>0</v>
      </c>
      <c r="BH15" s="26">
        <v>30</v>
      </c>
      <c r="BI15" s="21">
        <f ca="1">(BJ15/CU20)</f>
        <v>6273.51694618903</v>
      </c>
      <c r="BJ15" s="21">
        <f>(AR18*BH15)</f>
        <v>4485</v>
      </c>
      <c r="BK15" s="26">
        <v>30</v>
      </c>
      <c r="BL15" s="21">
        <f ca="1">(BM15/CU20)</f>
        <v>487.76769103803269</v>
      </c>
      <c r="BM15" s="21">
        <f>COUNTIF($A$1,"1S-Makine ve Elektrik Teknisyenleri-Üniversite")*(566.31/30*BK15)
+COUNTIF($A$1,"1S-Makine ve Elektrik Teknisyenleri-MYO")*(566.31/30*BK15)
+COUNTIF($A$1,"1S-Makine ve Elektrik Teknisyenleri-Lise")*(566.31/30*BK15)
+COUNTIF($A$1,"1S-Makine ve Elektrik Teknisyenleri-Ortaokul")*(566.31/30*BK15)
+COUNTIF($A$1,"1S-Makine ve Elektrik Teknisyenleri-İlkokul")*(566.31/30*BK15)
+COUNTIF($A$1,"1S-Yakıt Elemanı-Üniversite")*(566.31/30*BK15)
+COUNTIF($A$1,"1S-Yakıt Elemanı-MYO")*(566.31/30*BK15)
+COUNTIF($A$1,"1S-Yakıt Elemanı-Lise")*(566.31/30*BK15)
+COUNTIF($A$1,"1S-Yakıt Elemanı-Ortaokul")*(566.31/30*BK15)
+COUNTIF($A$1,"1S-Yakıt Elemanı-İlkokul")*(566.31/30*BK15)
+COUNTIF($A$1,"1S-Tanker Şoförü-Üniversite")*(566.31/30*BK15)
+COUNTIF($A$1,"1S-Tanker Şoförü-MYO")*(566.31/30*BK15)
+COUNTIF($A$1,"1S-Tanker Şoförü-Lise")*(566.31/30*BK15)
+COUNTIF($A$1,"1S-Tanker Şoförü-Ortaokul")*(566.31/30*BK15)
+COUNTIF($A$1,"1S-Tanker Şoförü-İlkokul")*(566.31/30*BK15)
+COUNTIF($A$1,"1S-Vinç Operatörü-Üniversite")*(566.31/30*BK15)
+COUNTIF($A$1,"1S-Vinç Operatörü-MYO")*(566.31/30*BK15)
+COUNTIF($A$1,"1S-Vinç Operatörü-Lise")*(566.31/30*BK15)
+COUNTIF($A$1,"1S-Vinç Operatörü-Ortaokul")*(566.31/30*BK15)
+COUNTIF($A$1,"1S-Vinç Operatörü-İlkokul")*(566.31/30*BK15)
+COUNTIF($A$1,"1S-Rampa Görevlisi-Üniversite")*(566.31/30*BK15)
+COUNTIF($A$1,"1S-Rampa Görevlisi-MYO")*(566.31/30*BK15)
+COUNTIF($A$1,"1S-Rampa Görevlisi-Lise")*(566.31/30*BK15)
+COUNTIF($A$1,"1S-Rampa Görevlisi-Ortaokul")*(566.31/30*BK15)
+COUNTIF($A$1,"1S-Rampa Görevlisi-İlkokul")*(566.31/30*BK15)
+COUNTIF($A$1,"1S-Yakıt Hizmetlisi-Üniversite")*(566.31/30*BK15)
+COUNTIF($A$1,"1S-Yakıt Hizmetlisi-MYO")*(566.31/30*BK15)
+COUNTIF($A$1,"1S-Yakıt Hizmetlisi-Lise")*(566.31/30*BK15)
+COUNTIF($A$1,"1S-Yakıt Hizmetlisi-Ortaokul")*(566.31/30*BK15)
+COUNTIF($A$1,"1S-Yakıt Hizmetlisi-İlkokul")*(566.31/30*BK15)
+COUNTIF($A$1,"2S-Rampa Görevlisi-Üniversite")*(348.71/30*BK15)
+COUNTIF($A$1,"2S-Rampa Görevlisi-MYO")*(348.71/30*BK15)
+COUNTIF($A$1,"2S-Rampa Görevlisi-Lise")*(348.71/30*BK15)
+COUNTIF($A$1,"2S-Rampa Görevlisi-Ortaokul")*(348.71/30*BK15)
+COUNTIF($A$1,"2S-Rampa Görevlisi-İlkokul")*(348.71/30*BK15)
+COUNTIF($A$1,"2S-Hizmetliler-Üniversite")*(348.71/30*BK15)
+COUNTIF($A$1,"2S-Hizmetliler-MYO")*(348.71/30*BK15)
+COUNTIF($A$1,"2S-Hizmetliler-Lise")*(348.71/30*BK15)
+COUNTIF($A$1,"2S-Hizmetliler-Ortaokul")*(348.71/30*BK15)
+COUNTIF($A$1,"2S-Hizmetliler-İlkokul")*(348.71/30*BK15)
+COUNTIF($A$1,"2S-Çaycı-Üniversite")*(348.71/30*BK15)
+COUNTIF($A$1,"2S-Çaycı-MYO")*(348.71/30*BK15)
+COUNTIF($A$1,"2S-Çaycı-Lise")*(348.71/30*BK15)
+COUNTIF($A$1,"2S-Çaycı-Ortaokul")*(348.71/30*BK15)
+COUNTIF($A$1,"2S-Çaycı-İlkokul")*(348.71/30*BK15)
+COUNTIF($A$1,"2S-Gişe Sorumlusu-Üniversite")*(348.71/30*BK15)
+COUNTIF($A$1,"2S-Gişe Sorumlusu-MYO")*(348.71/30*BK15)
+COUNTIF($A$1,"2S-Gişe Sorumlusu-Lise")*(348.71/30*BK15)
+COUNTIF($A$1,"2S-Gişe Sorumlusu-Ortaokul")*(348.71/30*BK15)
+COUNTIF($A$1,"2S-Gişe Sorumlusu-İlkokul")*(348.71/30*BK15)
+COUNTIF($A$1,"2S-Gişe Görevlisi-Üniversite")*(348.71/30*BK15)
+COUNTIF($A$1,"2S-Gişe Görevlisi-MYO")*(348.71/30*BK15)
+COUNTIF($A$1,"2S-Gişe Görevlisi-Lise")*(348.71/30*BK15)
+COUNTIF($A$1,"2S-Gişe Görevlisi-Ortaokul")*(348.71/30*BK15)
+COUNTIF($A$1,"2S-Gişe Görevlisi-İlkokul")*(348.71/30*BK15)
+COUNTIF($A$1,"2S-Terminal Görevlisi-Üniversite")*(348.71/30*BK15)
+COUNTIF($A$1,"2S-Terminal Görevlisi-MYO")*(348.71/30*BK15)
+COUNTIF($A$1,"2S-Terminal Görevlisi-Lise")*(348.71/30*BK15)
+COUNTIF($A$1,"2S-Terminal Görevlisi-Ortaokul")*(348.71/30*BK15)
+COUNTIF($A$1,"2S-Terminal Görevlisi-İlkokul")*(348.71/30*BK15)
+COUNTIF($A$1,"2S-İskele Görevlisi-Üniversite")*(348.71/30*BK15)
+COUNTIF($A$1,"2S-İskele Görevlisi-MYO")*(348.71/30*BK15)
+COUNTIF($A$1,"2S-İskele Görevlisi-Lise")*(348.71/30*BK15)
+COUNTIF($A$1,"2S-İskele Görevlisi-Ortaokul")*(348.71/30*BK15)
+COUNTIF($A$1,"2S-İskele Görevlisi-İlkokul")*(348.71/30*BK15)
+COUNTIF($A$1,"Atölye-Formen")*(348.71/30*BK15)
+COUNTIF($A$1,"Atölye-Teknisyen")*(348.71/30*BK15)
+COUNTIF($A$1,"Atölye-Ustabaşı")*(348.71/30*BK15)
+COUNTIF($A$1,"Atölye-Usta")*(348.71/30*BK15)
+COUNTIF($A$1,"Atölye-İşçi")*(348.71/30*BK15)</f>
        <v>348.71</v>
      </c>
      <c r="BN15" s="24">
        <f>COUNTIF(G17,"Yok")*(0)
+COUNTIF(G17,"Bakırköy")*(115.36/30*H17)
+COUNTIF(G17,"Bandırma")*(115.36/30*H17)
+COUNTIF(G17,"Bostancı")*(520.17/30*H17)
+COUNTIF(G17,"Bursa")*(520.17/30*H17)
+COUNTIF(G17,"Eskihisar")*(635.52/30*H17)
+COUNTIF(G17,"Harem")*(520.17/30*H17)
+COUNTIF(G17,"Kabataş")*(520.17/30*H17)
+COUNTIF(G17,"Kadıköy")*(520.17/30*H17)
+COUNTIF(G17,"Pendik")*(520.17/30*H17)
+COUNTIF(G17,"Sirkeci")*(520.17/30*H17)
+COUNTIF(G17,"Topçular")*(635.52/30*H17)
+COUNTIF(G17,"Yalova")*(635.52/30*H17)
+COUNTIF(G17,"Yenikapı")*(635.52/30*H17)</f>
        <v>0</v>
      </c>
      <c r="BU15" s="28" t="s">
        <v>40</v>
      </c>
      <c r="BV15" s="29">
        <v>627.87</v>
      </c>
      <c r="BW15" s="21">
        <f t="shared" ref="BW15" si="35">(BW3+BW4+BW5+BW6+BW7+BW8+BW9+BW10+BW11+BW12+BW13+BW14)</f>
        <v>0</v>
      </c>
      <c r="BX15" s="21">
        <f t="shared" ref="BX15" si="36">(BX3+BX4+BX5+BX6+BX7+BX8+BX9+BX10+BX11+BX12+BX13+BX14)</f>
        <v>0</v>
      </c>
      <c r="BY15" s="21">
        <f t="shared" ref="BY15" ca="1" si="37">(BY3+BY4+BY5+BY6+BY7+BY8+BY9+BY10+BY11+BY12+BY13+BY14)</f>
        <v>0</v>
      </c>
      <c r="BZ15" s="38" t="s">
        <v>0</v>
      </c>
      <c r="CA15" s="21">
        <f ca="1">(CA3+CA4+BG4+BG5+BG6+BG7+CA9+CA10+CA11+CA12+CA13+CA14)</f>
        <v>-2301.3024396158949</v>
      </c>
      <c r="CB15" s="21">
        <f ca="1">(CB3+CB4+BH4+BH5+BH6+BH7+CB9+CB10+CB11+CB12+CB13+CB14)</f>
        <v>2301.3024396158949</v>
      </c>
      <c r="CC15" s="21">
        <f ca="1">(CC3+CC4+BI4+BI5+BI6+BI7+CC9+CC10+CC11+CC12+CC13+CC14)</f>
        <v>0</v>
      </c>
      <c r="CD15" s="21">
        <f ca="1">(CD3+CD4+BJ4+BJ5+BJ6+BJ7+CD9+CD10+CD11+CD12+CD13+CD14)</f>
        <v>0</v>
      </c>
      <c r="CE15" s="21">
        <f ca="1">(CE3+CE4+BK4+BK5+BK6+BK7+CE9+CE10+CE11+CE12+CE13+CE14)</f>
        <v>0</v>
      </c>
      <c r="CF15" s="29" t="s">
        <v>0</v>
      </c>
      <c r="CG15" s="21">
        <f t="shared" ref="CG15:CN15" si="38">(CG3+CG4+BM3+BM4+BM5+BM6+CG9+CG10+CG11+CG12+CG13+CG14)</f>
        <v>68850</v>
      </c>
      <c r="CH15" s="21">
        <f t="shared" si="38"/>
        <v>68850</v>
      </c>
      <c r="CI15" s="21">
        <f t="shared" si="38"/>
        <v>0</v>
      </c>
      <c r="CJ15" s="21">
        <f t="shared" si="38"/>
        <v>0</v>
      </c>
      <c r="CK15" s="21">
        <f t="shared" si="38"/>
        <v>0</v>
      </c>
      <c r="CL15" s="21">
        <f t="shared" si="38"/>
        <v>68850</v>
      </c>
      <c r="CM15" s="21">
        <f t="shared" si="38"/>
        <v>-9639.0000000000036</v>
      </c>
      <c r="CN15" s="21">
        <f t="shared" si="38"/>
        <v>-688.50000000000023</v>
      </c>
      <c r="CO15" s="38" t="s">
        <v>0</v>
      </c>
      <c r="CP15" s="38" t="s">
        <v>0</v>
      </c>
      <c r="CQ15" s="38" t="s">
        <v>0</v>
      </c>
      <c r="CR15" s="38" t="s">
        <v>0</v>
      </c>
      <c r="CS15" s="21">
        <f t="shared" ref="CS15" si="39">(CS3+CS4+CS5+CS6+CS7+CS8+CS9+CS10+CS11+CS12+CS13+CS14)</f>
        <v>0</v>
      </c>
      <c r="CT15" s="21">
        <f t="shared" ref="CT15" si="40">(CT3+CT4+CT5+CT6+CT7+CT8+CT9+CT10+CT11+CT12+CT13+CT14)</f>
        <v>58522.499999999993</v>
      </c>
      <c r="CU15" s="38" t="s">
        <v>0</v>
      </c>
      <c r="CV15" s="27" t="s">
        <v>0</v>
      </c>
      <c r="CW15" s="27" t="s">
        <v>0</v>
      </c>
      <c r="CX15" s="27" t="s">
        <v>0</v>
      </c>
      <c r="CY15" s="21">
        <f>(CY3+CY4+CY5+CY6+AP8+AP9+AP10+CY10+CY11+CY12+CY13+CY14)</f>
        <v>10104.5</v>
      </c>
      <c r="CZ15" s="27" t="s">
        <v>0</v>
      </c>
      <c r="DA15" s="21">
        <f>(DA3+DA4+DA5+DA6+AR8+AR9+AR10+DA10+DA11+DA12+DA13+DA14)</f>
        <v>68850</v>
      </c>
      <c r="DB15" s="21">
        <f>(DB3+DB4+DB5+DB6+AS8+AS9+AS10+DB10+DB11+DB12+DB13+DB14)</f>
        <v>58522.499999999993</v>
      </c>
      <c r="DC15" s="27">
        <v>13</v>
      </c>
      <c r="DD15" s="31">
        <v>6.5</v>
      </c>
      <c r="DE15" s="32">
        <v>0.15</v>
      </c>
      <c r="DF15" s="42"/>
    </row>
    <row r="16" spans="1:110" ht="39.950000000000003" customHeight="1" x14ac:dyDescent="0.25">
      <c r="A16" s="3">
        <f t="shared" ca="1" si="33"/>
        <v>0.15</v>
      </c>
      <c r="B16" s="5" t="s">
        <v>13</v>
      </c>
      <c r="C16" s="14">
        <v>0</v>
      </c>
      <c r="D16" s="15">
        <v>0</v>
      </c>
      <c r="E16" s="15">
        <v>0</v>
      </c>
      <c r="F16" s="14">
        <v>20</v>
      </c>
      <c r="G16" s="16" t="s">
        <v>1</v>
      </c>
      <c r="H16" s="14">
        <v>0</v>
      </c>
      <c r="I16" s="14">
        <v>0</v>
      </c>
      <c r="J16" s="14">
        <v>0</v>
      </c>
      <c r="K16" s="14">
        <v>0</v>
      </c>
      <c r="L16" s="14">
        <v>0</v>
      </c>
      <c r="M16" s="17" t="s">
        <v>1</v>
      </c>
      <c r="N16" s="17" t="s">
        <v>1</v>
      </c>
      <c r="O16" s="17" t="s">
        <v>1</v>
      </c>
      <c r="P16" s="18">
        <v>0</v>
      </c>
      <c r="Q16" s="6">
        <f ca="1">(BY19+CA4+CC4-CE19-CI19-CJ19-CS19-R16)</f>
        <v>4830.5674943299555</v>
      </c>
      <c r="R16" s="6">
        <f ca="1">(BG17+BI17+BK17+CD4)</f>
        <v>840</v>
      </c>
      <c r="S16" s="7">
        <f t="shared" ref="S16:S26" ca="1" si="41">(Q16+R16)</f>
        <v>5670.5674943299555</v>
      </c>
      <c r="T16" s="44" t="s">
        <v>34</v>
      </c>
      <c r="U16" s="45">
        <f t="shared" ca="1" si="27"/>
        <v>550.11999999999989</v>
      </c>
      <c r="V16" s="46">
        <f ca="1">COUNTIF(W1,"Ocak")*(CE18)*-1
+COUNTIF(W1,"Şubat")*(CE19)*-1
+COUNTIF(W1,"Mart")*(CE20)*-1
+COUNTIF(W1,"Nisan")*(CE21)*-1
+COUNTIF(W1,"Mayıs")*(BB8)*-1
+COUNTIF(W1,"Haziran")*(BB9)*-1
+COUNTIF(W1,"Temmuz")*(BB10)*-1
+COUNTIF(W1,"Ağustos")*(CE22)*-1
+COUNTIF(W1,"Eylül")*(CE23)*-1
+COUNTIF(W1,"Ekim")*(CE24)*-1
+COUNTIF(W1,"Kasım")*(CE25)*-1
+COUNTIF(W1,"Aralık")*(CE26)*-1
+COUNTIF(W1,"Yıllık Toplam")*(CE27)*-1
+COUNTIF(W1,"Yıllık Ortalama")*(CE28)*-1</f>
        <v>-550.11999999999989</v>
      </c>
      <c r="W16" s="71"/>
      <c r="X16" s="65"/>
      <c r="Y16" s="47" t="s">
        <v>0</v>
      </c>
      <c r="Z16" s="51" t="s">
        <v>0</v>
      </c>
      <c r="AA16" s="54"/>
      <c r="AB16" s="55"/>
      <c r="AC16" s="57"/>
      <c r="AD16" s="56"/>
      <c r="AE16" s="20" t="s">
        <v>96</v>
      </c>
      <c r="AF16" s="21">
        <v>183</v>
      </c>
      <c r="AG16" s="21">
        <v>210.57</v>
      </c>
      <c r="AH16" s="22">
        <f>(AI3+1)</f>
        <v>44743</v>
      </c>
      <c r="AI16" s="22">
        <f>EOMONTH(AH16,0)</f>
        <v>44773</v>
      </c>
      <c r="AJ16" s="23">
        <f>DAY(AI16)</f>
        <v>31</v>
      </c>
      <c r="AK16" s="23">
        <f>NETWORKDAYS.INTL(AH16,AI16,11)</f>
        <v>26</v>
      </c>
      <c r="AL16" s="23">
        <f>(AJ16-AK16)</f>
        <v>5</v>
      </c>
      <c r="AM16" s="24">
        <f ca="1">(AN16/CU24)</f>
        <v>284.15698755223747</v>
      </c>
      <c r="AN16"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6" s="24">
        <f ca="1">(AP16+AY10/AJ16*-1+CR24/AJ16*-1)/(CU24)</f>
        <v>242.21997379670907</v>
      </c>
      <c r="AP16"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6" s="24">
        <f ca="1">(AR19/CU24)</f>
        <v>284.15698755223747</v>
      </c>
      <c r="AR16" s="21">
        <f ca="1">(AS16/BJ9)</f>
        <v>0</v>
      </c>
      <c r="AS16" s="21">
        <f>COUNTIF($A$1,"2S-Gişe Sorumlusu-Üniversite")*(BP1)
+COUNTIF($A$1,"2S-Gişe Sorumlusu-MYO")*(BP1)
+COUNTIF($A$1,"2S-Gişe Sorumlusu-Lise")*(BP1)
+COUNTIF($A$1,"2S-Gişe Sorumlusu-Ortaokul")*(BP1)
+COUNTIF($A$1,"2S-Gişe Sorumlusu-İlkokul")*(BP1)
+COUNTIF($A$1,"2S-Gişe Görevlisi-Üniversite")*(BQ1)
+COUNTIF($A$1,"2S-Gişe Görevlisi-MYO")*(BQ1)
+COUNTIF($A$1,"2S-Gişe Görevlisi-Lise")*(BQ1)
+COUNTIF($A$1,"2S-Gişe Görevlisi-Ortaokul")*(BQ1)
+COUNTIF($A$1,"2S-Gişe Görevlisi-İlkokul")*(BQ1)
+COUNTIF($A$1,"2S-Terminal Görevlisi-Üniversite")*(BR1)
+COUNTIF($A$1,"2S-Terminal Görevlisi-MYO")*(BR1)
+COUNTIF($A$1,"2S-Terminal Görevlisi-Lise")*(BR1)
+COUNTIF($A$1,"2S-Terminal Görevlisi-Ortaokul")*(BR1)
+COUNTIF($A$1,"2S-Terminal Görevlisi-İlkokul")*(BR1)
+COUNTIF($A$1,"2S-İskele Görevlisi-Üniversite")*(BS1)
+COUNTIF($A$1,"2S-İskele Görevlisi-MYO")*(BS1)
+COUNTIF($A$1,"2S-İskele Görevlisi-Lise")*(BS1)
+COUNTIF($A$1,"2S-İskele Görevlisi-Ortaokul")*(BS1)
+COUNTIF($A$1,"2S-İskele Görevlisi-İlkokul")*(BS1)</f>
        <v>0</v>
      </c>
      <c r="AT16" s="21">
        <f ca="1">(AU16/BJ9)</f>
        <v>0</v>
      </c>
      <c r="AU16" s="21">
        <f>COUNTIF($A$1,"2S-Gişe Sorumlusu-Üniversite")*(13.1*I25)
+COUNTIF($A$1,"2S-Gişe Sorumlusu-MYO")*(13.1*I25)
+COUNTIF($A$1,"2S-Gişe Sorumlusu-Lise")*(13.1*I25)
+COUNTIF($A$1,"2S-Gişe Sorumlusu-Ortaokul")*(13.1*I25)
+COUNTIF($A$1,"2S-Gişe Sorumlusu-İlkokul")*(13.1*I25)
+COUNTIF($A$1,"2S-Gişe Görevlisi-Üniversite")*(13.1*I25)
+COUNTIF($A$1,"2S-Gişe Görevlisi-MYO")*(13.1*I25)
+COUNTIF($A$1,"2S-Gişe Görevlisi-Lise")*(13.1*I25)
+COUNTIF($A$1,"2S-Gişe Görevlisi-Ortaokul")*(13.1*I25)
+COUNTIF($A$1,"2S-Gişe Görevlisi-İlkokul")*(13.1*I25)
+COUNTIF($A$1,"2S-Terminal Görevlisi-Üniversite")*(13.1*I25)
+COUNTIF($A$1,"2S-Terminal Görevlisi-MYO")*(13.1*I25)
+COUNTIF($A$1,"2S-Terminal Görevlisi-Lise")*(13.1*I25)
+COUNTIF($A$1,"2S-Terminal Görevlisi-Ortaokul")*(13.1*I25)
+COUNTIF($A$1,"2S-Terminal Görevlisi-İlkokul")*(13.1*I25)
+COUNTIF($A$1,"2S-İskele Görevlisi-Üniversite")*(13.1*I25)
+COUNTIF($A$1,"2S-İskele Görevlisi-MYO")*(13.1*I25)
+COUNTIF($A$1,"2S-İskele Görevlisi-Lise")*(13.1*I25)
+COUNTIF($A$1,"2S-İskele Görevlisi-Ortaokul")*(13.1*I25)
+COUNTIF($A$1,"2S-İskele Görevlisi-İlkokul")*(13.1*I25)</f>
        <v>0</v>
      </c>
      <c r="AV16" s="21">
        <f ca="1">(AW16/BJ9)</f>
        <v>0</v>
      </c>
      <c r="AW16" s="21">
        <f>COUNTIF($A$1,"Atölye-Formen")*(4.03*J25)
+COUNTIF($A$1,"Atölye-Teknisyen")*(4.03*J25)
+COUNTIF($A$1,"Atölye-Ustabaşı")*(4.03*J25)
+COUNTIF($A$1,"Atölye-Usta")*(4.03*J25)
+COUNTIF($A$1,"Atölye-İşçi")*(4.03*J25)</f>
        <v>0</v>
      </c>
      <c r="AX16" s="21">
        <f ca="1">(AY16/BJ9)</f>
        <v>0</v>
      </c>
      <c r="AY16" s="21">
        <f>COUNTIF($A$1,"Atölye-Formen")*(5.35*K25)
+COUNTIF($A$1,"Atölye-Teknisyen")*(5.35*K25)
+COUNTIF($A$1,"Atölye-Ustabaşı")*(5.35*K25)
+COUNTIF($A$1,"Atölye-Usta")*(5.35*K25)
+COUNTIF($A$1,"Atölye-İşçi")*(5.35*K25)</f>
        <v>0</v>
      </c>
      <c r="AZ16" s="21">
        <f ca="1">(BA26/BK9)</f>
        <v>0</v>
      </c>
      <c r="BA16"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BB16" s="25">
        <f ca="1">(AO13*AJ13)</f>
        <v>5537.074093242506</v>
      </c>
      <c r="BC16" s="21">
        <f>(BA16*AJ13)</f>
        <v>4634.5</v>
      </c>
      <c r="BD16" s="21">
        <f ca="1">(BE16/CU18)</f>
        <v>0</v>
      </c>
      <c r="BE16" s="21">
        <f>(7.84*C15)</f>
        <v>0</v>
      </c>
      <c r="BF16" s="21">
        <f ca="1">(BG16/CU18)</f>
        <v>0</v>
      </c>
      <c r="BG16" s="21">
        <f>(BA16/7.5*1.5*D15)</f>
        <v>0</v>
      </c>
      <c r="BH16" s="21">
        <f ca="1">(BI16/CU18)</f>
        <v>0</v>
      </c>
      <c r="BI16" s="21">
        <f>(BA16/7.5*2*E15)</f>
        <v>0</v>
      </c>
      <c r="BJ16" s="21">
        <f ca="1">(AS13)</f>
        <v>1139.27</v>
      </c>
      <c r="BK16" s="21">
        <f>(42*F15)</f>
        <v>840</v>
      </c>
      <c r="BL16" s="21">
        <f ca="1">(BE4)</f>
        <v>0</v>
      </c>
      <c r="BM16" s="21">
        <f ca="1">(BC27/CU21)</f>
        <v>0</v>
      </c>
      <c r="BN16" s="21">
        <f ca="1">(BO16/CU21)</f>
        <v>777.9720524261794</v>
      </c>
      <c r="BO16" s="21">
        <f>(556.18/30*BT7)</f>
        <v>556.17999999999995</v>
      </c>
      <c r="BP16" s="21">
        <f>(0)</f>
        <v>0</v>
      </c>
      <c r="BU16" s="28" t="s">
        <v>37</v>
      </c>
      <c r="BV16" s="29">
        <v>10614.24</v>
      </c>
      <c r="BW16" s="21">
        <f t="shared" ref="BW16" si="42">BW15/12</f>
        <v>0</v>
      </c>
      <c r="BX16" s="21">
        <f t="shared" ref="BX16" si="43">BX15/12</f>
        <v>0</v>
      </c>
      <c r="BY16" s="21">
        <f t="shared" ref="BY16" ca="1" si="44">BY15/12</f>
        <v>0</v>
      </c>
      <c r="BZ16" s="38" t="s">
        <v>0</v>
      </c>
      <c r="CA16" s="21">
        <f t="shared" ref="CA16:CB16" ca="1" si="45">(CA15/12)</f>
        <v>-191.77520330132458</v>
      </c>
      <c r="CB16" s="21">
        <f t="shared" ca="1" si="45"/>
        <v>191.77520330132458</v>
      </c>
      <c r="CC16" s="21">
        <f t="shared" ref="CC16:CE16" ca="1" si="46">(CC15/12)</f>
        <v>0</v>
      </c>
      <c r="CD16" s="21">
        <f t="shared" ca="1" si="46"/>
        <v>0</v>
      </c>
      <c r="CE16" s="21">
        <f t="shared" ca="1" si="46"/>
        <v>0</v>
      </c>
      <c r="CF16" s="21" t="s">
        <v>0</v>
      </c>
      <c r="CG16" s="21">
        <f t="shared" ref="CG16" si="47">(CG15/12)</f>
        <v>5737.5</v>
      </c>
      <c r="CH16" s="21">
        <f t="shared" ref="CH16" si="48">(CH15/12)</f>
        <v>5737.5</v>
      </c>
      <c r="CI16" s="21">
        <f t="shared" ref="CI16" si="49">(CI15/12)</f>
        <v>0</v>
      </c>
      <c r="CJ16" s="21">
        <f t="shared" ref="CJ16" si="50">(CJ15/12)</f>
        <v>0</v>
      </c>
      <c r="CK16" s="21">
        <f t="shared" ref="CK16" si="51">(CK15/12)</f>
        <v>0</v>
      </c>
      <c r="CL16" s="21">
        <f t="shared" ref="CL16" si="52">(CL15/12)</f>
        <v>5737.5</v>
      </c>
      <c r="CM16" s="21">
        <f t="shared" ref="CM16" si="53">(CM15/12)</f>
        <v>-803.25000000000034</v>
      </c>
      <c r="CN16" s="21">
        <f t="shared" ref="CN16" si="54">(CN15/12)</f>
        <v>-57.375000000000021</v>
      </c>
      <c r="CO16" s="38" t="s">
        <v>0</v>
      </c>
      <c r="CP16" s="38" t="s">
        <v>0</v>
      </c>
      <c r="CQ16" s="38" t="s">
        <v>0</v>
      </c>
      <c r="CR16" s="38" t="s">
        <v>0</v>
      </c>
      <c r="CS16" s="21">
        <f t="shared" ref="CS16" si="55">(CS15/12)</f>
        <v>0</v>
      </c>
      <c r="CT16" s="21">
        <f t="shared" ref="CT16" si="56">(CT15/12)</f>
        <v>4876.8749999999991</v>
      </c>
      <c r="CU16" s="38" t="s">
        <v>0</v>
      </c>
      <c r="CV16" s="38" t="s">
        <v>0</v>
      </c>
      <c r="CW16" s="38" t="s">
        <v>0</v>
      </c>
      <c r="CX16" s="38" t="s">
        <v>0</v>
      </c>
      <c r="CY16" s="21">
        <f t="shared" ref="CY16" si="57">(CY15/12)</f>
        <v>842.04166666666663</v>
      </c>
      <c r="CZ16" s="38" t="s">
        <v>0</v>
      </c>
      <c r="DA16" s="21">
        <f t="shared" ref="DA16" si="58">(DA15/12)</f>
        <v>5737.5</v>
      </c>
      <c r="DB16" s="21">
        <f t="shared" ref="DB16" si="59">(DB15/12)</f>
        <v>4876.8749999999991</v>
      </c>
      <c r="DC16" s="27">
        <v>14</v>
      </c>
      <c r="DD16" s="31">
        <v>7</v>
      </c>
      <c r="DE16" s="32">
        <v>0.16</v>
      </c>
      <c r="DF16" s="42"/>
    </row>
    <row r="17" spans="1:110" ht="39.950000000000003" customHeight="1" x14ac:dyDescent="0.25">
      <c r="A17" s="3">
        <f t="shared" ca="1" si="33"/>
        <v>0.15</v>
      </c>
      <c r="B17" s="5" t="s">
        <v>14</v>
      </c>
      <c r="C17" s="14">
        <v>0</v>
      </c>
      <c r="D17" s="15">
        <v>0</v>
      </c>
      <c r="E17" s="15">
        <v>0</v>
      </c>
      <c r="F17" s="14">
        <v>20</v>
      </c>
      <c r="G17" s="16" t="s">
        <v>1</v>
      </c>
      <c r="H17" s="14">
        <v>0</v>
      </c>
      <c r="I17" s="14">
        <v>0</v>
      </c>
      <c r="J17" s="14">
        <v>0</v>
      </c>
      <c r="K17" s="14">
        <v>0</v>
      </c>
      <c r="L17" s="14">
        <v>0</v>
      </c>
      <c r="M17" s="17" t="s">
        <v>1</v>
      </c>
      <c r="N17" s="17" t="s">
        <v>1</v>
      </c>
      <c r="O17" s="17" t="s">
        <v>1</v>
      </c>
      <c r="P17" s="18">
        <v>0</v>
      </c>
      <c r="Q17" s="6">
        <f ca="1">(BY20+BG4+BI4-CE20-CI20-CJ20-CS20-R17)</f>
        <v>9761.5662360026363</v>
      </c>
      <c r="R17" s="6">
        <f ca="1">(AX18+AZ18+BB18+BJ4)</f>
        <v>840</v>
      </c>
      <c r="S17" s="7">
        <f t="shared" ca="1" si="41"/>
        <v>10601.566236002636</v>
      </c>
      <c r="T17" s="44" t="s">
        <v>6</v>
      </c>
      <c r="U17" s="45">
        <f t="shared" ca="1" si="27"/>
        <v>19400.47</v>
      </c>
      <c r="V17" s="46">
        <f ca="1">COUNTIF(W1,"Ocak")*(CI18)*-1
+COUNTIF(W1,"Şubat")*(CI19)*-1
+COUNTIF(W1,"Mart")*(CI20)*-1
+COUNTIF(W1,"Nisan")*(CI21)*-1
+COUNTIF(W1,"Mayıs")*(BF8)*-1
+COUNTIF(W1,"Haziran")*(BF9)*-1
+COUNTIF(W1,"Temmuz")*(BF10)*-1
+COUNTIF(W1,"Ağustos")*(CI22)*-1
+COUNTIF(W1,"Eylül")*(CI23)*-1
+COUNTIF(W1,"Ekim")*(CI24)*-1
+COUNTIF(W1,"Kasım")*(CI25)*-1
+COUNTIF(W1,"Aralık")*(CI26)*-1
+COUNTIF(W1,"Yıllık Toplam")*(CI27)*-1
+COUNTIF(W1,"Yıllık Ortalama")*(CI28)*-1</f>
        <v>-19400.47</v>
      </c>
      <c r="W17" s="71"/>
      <c r="X17" s="65"/>
      <c r="Y17" s="47" t="s">
        <v>0</v>
      </c>
      <c r="Z17" s="51" t="s">
        <v>0</v>
      </c>
      <c r="AA17" s="54"/>
      <c r="AB17" s="55"/>
      <c r="AC17" s="57"/>
      <c r="AD17" s="56"/>
      <c r="AE17" s="20" t="s">
        <v>97</v>
      </c>
      <c r="AF17" s="21">
        <v>182.75</v>
      </c>
      <c r="AG17" s="21">
        <v>209.57</v>
      </c>
      <c r="AH17" s="22">
        <f>(AI16+1)</f>
        <v>44774</v>
      </c>
      <c r="AI17" s="22">
        <f>EOMONTH(AH17,0)</f>
        <v>44804</v>
      </c>
      <c r="AJ17" s="23">
        <f>DAY(AI17)</f>
        <v>31</v>
      </c>
      <c r="AK17" s="23">
        <f>NETWORKDAYS.INTL(AH17,AI17,11)</f>
        <v>27</v>
      </c>
      <c r="AL17" s="23">
        <f>(AJ17-AK17)</f>
        <v>4</v>
      </c>
      <c r="AM17" s="24">
        <f ca="1">(AN17/CU25)</f>
        <v>284.15698755223747</v>
      </c>
      <c r="AN17"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7" s="24">
        <f ca="1">(AP17+CB22/AJ17*-1+CR25/AJ17*-1)/(CU25)</f>
        <v>231.37501601125658</v>
      </c>
      <c r="AP17"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7" s="24">
        <f ca="1">(AR20/CU25)</f>
        <v>284.15698755223747</v>
      </c>
      <c r="AR17" s="21">
        <f ca="1">(AS17/BJ10)</f>
        <v>0</v>
      </c>
      <c r="AS17" s="21">
        <f>COUNTIF($A$1,"2S-Gişe Sorumlusu-Üniversite")*(BP2)
+COUNTIF($A$1,"2S-Gişe Sorumlusu-MYO")*(BP2)
+COUNTIF($A$1,"2S-Gişe Sorumlusu-Lise")*(BP2)
+COUNTIF($A$1,"2S-Gişe Sorumlusu-Ortaokul")*(BP2)
+COUNTIF($A$1,"2S-Gişe Sorumlusu-İlkokul")*(BP2)
+COUNTIF($A$1,"2S-Gişe Görevlisi-Üniversite")*(BQ2)
+COUNTIF($A$1,"2S-Gişe Görevlisi-MYO")*(BQ2)
+COUNTIF($A$1,"2S-Gişe Görevlisi-Lise")*(BQ2)
+COUNTIF($A$1,"2S-Gişe Görevlisi-Ortaokul")*(BQ2)
+COUNTIF($A$1,"2S-Gişe Görevlisi-İlkokul")*(BQ2)
+COUNTIF($A$1,"2S-Terminal Görevlisi-Üniversite")*(BR2)
+COUNTIF($A$1,"2S-Terminal Görevlisi-MYO")*(BR2)
+COUNTIF($A$1,"2S-Terminal Görevlisi-Lise")*(BR2)
+COUNTIF($A$1,"2S-Terminal Görevlisi-Ortaokul")*(BR2)
+COUNTIF($A$1,"2S-Terminal Görevlisi-İlkokul")*(BR2)
+COUNTIF($A$1,"2S-İskele Görevlisi-Üniversite")*(BS2)
+COUNTIF($A$1,"2S-İskele Görevlisi-MYO")*(BS2)
+COUNTIF($A$1,"2S-İskele Görevlisi-Lise")*(BS2)
+COUNTIF($A$1,"2S-İskele Görevlisi-Ortaokul")*(BS2)
+COUNTIF($A$1,"2S-İskele Görevlisi-İlkokul")*(BS2)</f>
        <v>0</v>
      </c>
      <c r="AT17" s="21">
        <f ca="1">(AU17/BJ10)</f>
        <v>0</v>
      </c>
      <c r="AU17" s="21">
        <f>COUNTIF($A$1,"2S-Gişe Sorumlusu-Üniversite")*(13.1*I26)
+COUNTIF($A$1,"2S-Gişe Sorumlusu-MYO")*(13.1*I26)
+COUNTIF($A$1,"2S-Gişe Sorumlusu-Lise")*(13.1*I26)
+COUNTIF($A$1,"2S-Gişe Sorumlusu-Ortaokul")*(13.1*I26)
+COUNTIF($A$1,"2S-Gişe Sorumlusu-İlkokul")*(13.1*I26)
+COUNTIF($A$1,"2S-Gişe Görevlisi-Üniversite")*(13.1*I26)
+COUNTIF($A$1,"2S-Gişe Görevlisi-MYO")*(13.1*I26)
+COUNTIF($A$1,"2S-Gişe Görevlisi-Lise")*(13.1*I26)
+COUNTIF($A$1,"2S-Gişe Görevlisi-Ortaokul")*(13.1*I26)
+COUNTIF($A$1,"2S-Gişe Görevlisi-İlkokul")*(13.1*I26)
+COUNTIF($A$1,"2S-Terminal Görevlisi-Üniversite")*(13.1*I26)
+COUNTIF($A$1,"2S-Terminal Görevlisi-MYO")*(13.1*I26)
+COUNTIF($A$1,"2S-Terminal Görevlisi-Lise")*(13.1*I26)
+COUNTIF($A$1,"2S-Terminal Görevlisi-Ortaokul")*(13.1*I26)
+COUNTIF($A$1,"2S-Terminal Görevlisi-İlkokul")*(13.1*I26)
+COUNTIF($A$1,"2S-İskele Görevlisi-Üniversite")*(13.1*I26)
+COUNTIF($A$1,"2S-İskele Görevlisi-MYO")*(13.1*I26)
+COUNTIF($A$1,"2S-İskele Görevlisi-Lise")*(13.1*I26)
+COUNTIF($A$1,"2S-İskele Görevlisi-Ortaokul")*(13.1*I26)
+COUNTIF($A$1,"2S-İskele Görevlisi-İlkokul")*(13.1*I26)</f>
        <v>0</v>
      </c>
      <c r="AV17" s="21">
        <f ca="1">(AW17/BJ10)</f>
        <v>0</v>
      </c>
      <c r="AW17" s="21">
        <f>COUNTIF($A$1,"Atölye-Formen")*(4.03*J26)
+COUNTIF($A$1,"Atölye-Teknisyen")*(4.03*J26)
+COUNTIF($A$1,"Atölye-Ustabaşı")*(4.03*J26)
+COUNTIF($A$1,"Atölye-Usta")*(4.03*J26)
+COUNTIF($A$1,"Atölye-İşçi")*(4.03*J26)</f>
        <v>0</v>
      </c>
      <c r="AX17" s="21">
        <f ca="1">(AY17/BJ10)</f>
        <v>0</v>
      </c>
      <c r="AY17" s="21">
        <f>COUNTIF($A$1,"Atölye-Formen")*(5.35*K26)
+COUNTIF($A$1,"Atölye-Teknisyen")*(5.35*K26)
+COUNTIF($A$1,"Atölye-Ustabaşı")*(5.35*K26)
+COUNTIF($A$1,"Atölye-Usta")*(5.35*K26)
+COUNTIF($A$1,"Atölye-İşçi")*(5.35*K26)</f>
        <v>0</v>
      </c>
      <c r="AZ17" s="21">
        <f ca="1">(BK22/BK10)</f>
        <v>0</v>
      </c>
      <c r="BA17"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BB17" s="25">
        <f ca="1">(AO14*AJ14)</f>
        <v>4909.7223986236022</v>
      </c>
      <c r="BC17" s="21">
        <f>(BA17*AJ14)</f>
        <v>4186</v>
      </c>
      <c r="BD17" s="21">
        <f ca="1">(BE17/CU19)</f>
        <v>0</v>
      </c>
      <c r="BE17" s="21">
        <f>(7.84*C16)</f>
        <v>0</v>
      </c>
      <c r="BF17" s="21">
        <f ca="1">(BG17/CU19)</f>
        <v>0</v>
      </c>
      <c r="BG17" s="21">
        <f>(BA17/7.5*1.5*D16)</f>
        <v>0</v>
      </c>
      <c r="BH17" s="21">
        <f ca="1">(BI17/CU19)</f>
        <v>0</v>
      </c>
      <c r="BI17" s="21">
        <f>(BA17/7.5*2*E16)</f>
        <v>0</v>
      </c>
      <c r="BJ17" s="21">
        <f ca="1">(AS14)</f>
        <v>1139.27</v>
      </c>
      <c r="BK17" s="21">
        <f>(42*F16)</f>
        <v>840</v>
      </c>
      <c r="BL17" s="21">
        <f ca="1">(BE5)</f>
        <v>0</v>
      </c>
      <c r="BU17" s="28" t="s">
        <v>2</v>
      </c>
      <c r="BV17" s="29">
        <v>383.7</v>
      </c>
      <c r="CM17" s="21">
        <f>(0)</f>
        <v>0</v>
      </c>
      <c r="CN17" s="30">
        <f>(0%)</f>
        <v>0</v>
      </c>
      <c r="DC17" s="27">
        <v>15</v>
      </c>
      <c r="DD17" s="31">
        <v>7.5</v>
      </c>
      <c r="DE17" s="32">
        <v>0.17</v>
      </c>
      <c r="DF17" s="42"/>
    </row>
    <row r="18" spans="1:110" ht="39.950000000000003" customHeight="1" x14ac:dyDescent="0.25">
      <c r="A18" s="3">
        <f t="shared" ca="1" si="33"/>
        <v>0.15</v>
      </c>
      <c r="B18" s="5" t="s">
        <v>15</v>
      </c>
      <c r="C18" s="14">
        <v>0</v>
      </c>
      <c r="D18" s="15">
        <v>0</v>
      </c>
      <c r="E18" s="15">
        <v>0</v>
      </c>
      <c r="F18" s="14">
        <v>20</v>
      </c>
      <c r="G18" s="16" t="s">
        <v>1</v>
      </c>
      <c r="H18" s="14">
        <v>0</v>
      </c>
      <c r="I18" s="14">
        <v>0</v>
      </c>
      <c r="J18" s="14">
        <v>0</v>
      </c>
      <c r="K18" s="14">
        <v>0</v>
      </c>
      <c r="L18" s="14">
        <v>0</v>
      </c>
      <c r="M18" s="17" t="s">
        <v>1</v>
      </c>
      <c r="N18" s="17" t="s">
        <v>1</v>
      </c>
      <c r="O18" s="17" t="s">
        <v>1</v>
      </c>
      <c r="P18" s="18">
        <v>0</v>
      </c>
      <c r="Q18" s="6">
        <f ca="1">(BY21+BG5+BI5-CE21-CI21-CJ21-CS21-R18)</f>
        <v>5254.0312941489137</v>
      </c>
      <c r="R18" s="6">
        <f ca="1">(AX1+AZ1+BB1+BJ5)</f>
        <v>840</v>
      </c>
      <c r="S18" s="7">
        <f t="shared" ca="1" si="41"/>
        <v>6094.0312941489137</v>
      </c>
      <c r="T18" s="44" t="s">
        <v>7</v>
      </c>
      <c r="U18" s="45">
        <f t="shared" ca="1" si="27"/>
        <v>1385.75</v>
      </c>
      <c r="V18" s="46">
        <f ca="1">COUNTIF(W1,"Ocak")*(CJ18)*-1
+COUNTIF(W1,"Şubat")*(CJ19)*-1
+COUNTIF(W1,"Mart")*(CJ20)*-1
+COUNTIF(W1,"Nisan")*(CJ21)*-1
+COUNTIF(W1,"Mayıs")*(BG8)*-1
+COUNTIF(W1,"Haziran")*(BG9)*-1
+COUNTIF(W1,"Temmuz")*(BG10)*-1
+COUNTIF(W1,"Ağustos")*(CJ22)*-1
+COUNTIF(W1,"Eylül")*(CJ23)*-1
+COUNTIF(W1,"Ekim")*(CJ24)*-1
+COUNTIF(W1,"Kasım")*(CJ25)*-1
+COUNTIF(W1,"Aralık")*(CJ26)*-1
+COUNTIF(W1,"Yıllık Toplam")*(CJ27)*-1
+COUNTIF(W1,"Yıllık Ortalama")*(CJ28)*-1</f>
        <v>-1385.75</v>
      </c>
      <c r="W18" s="71"/>
      <c r="X18" s="65"/>
      <c r="Y18" s="47" t="s">
        <v>0</v>
      </c>
      <c r="Z18" s="51" t="s">
        <v>0</v>
      </c>
      <c r="AA18" s="54"/>
      <c r="AB18" s="55"/>
      <c r="AC18" s="57"/>
      <c r="AD18" s="56"/>
      <c r="AE18" s="20" t="s">
        <v>98</v>
      </c>
      <c r="AF18" s="21">
        <v>182.5</v>
      </c>
      <c r="AG18" s="21">
        <v>208.57</v>
      </c>
      <c r="AH18" s="22">
        <f>(AI17+1)</f>
        <v>44805</v>
      </c>
      <c r="AI18" s="22">
        <f>EOMONTH(AH18,0)</f>
        <v>44834</v>
      </c>
      <c r="AJ18" s="23">
        <f>DAY(AI18)</f>
        <v>30</v>
      </c>
      <c r="AK18" s="23">
        <f>NETWORKDAYS.INTL(AH18,AI18,11)</f>
        <v>26</v>
      </c>
      <c r="AL18" s="23">
        <f>(AJ18-AK18)</f>
        <v>4</v>
      </c>
      <c r="AM18" s="24">
        <f ca="1">(AN18/CU26)</f>
        <v>306.4526550844509</v>
      </c>
      <c r="AN18"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8" s="24">
        <f ca="1">(AP18+CB23/AJ18*-1+CR26/AJ18*-1)/(CU26)</f>
        <v>245.01430601108643</v>
      </c>
      <c r="AP18"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8" s="24">
        <f ca="1">(AR21/CU26)</f>
        <v>306.4526550844509</v>
      </c>
      <c r="AR18" s="24">
        <f>COUNTIF($A$1,"1S-Makine ve Elektrik Teknisyenleri-Üniversite")*($AF$1)
+COUNTIF($A$1,"1S-Makine ve Elektrik Teknisyenleri-MYO")*($AF$2)
+COUNTIF($A$1,"1S-Makine ve Elektrik Teknisyenleri-Lise")*($AF$3)
+COUNTIF($A$1,"1S-Makine ve Elektrik Teknisyenleri-Ortaokul")*($AF$4)
+COUNTIF($A$1,"1S-Makine ve Elektrik Teknisyenleri-İlkokul")*($AF$5)
+COUNTIF($A$1,"1S-Yakıt Elemanı-Üniversite")*($AF$6)
+COUNTIF($A$1,"1S-Yakıt Elemanı-MYO")*($AF$7)
+COUNTIF($A$1,"1S-Yakıt Elemanı-Lise")*($AF$8)
+COUNTIF($A$1,"1S-Yakıt Elemanı-Ortaokul")*($AF$9)
+COUNTIF($A$1,"1S-Yakıt Elemanı-İlkokul")*($AF$10)
+COUNTIF($A$1,"1S-Tanker Şoförü-Üniversite")*($AF$11)
+COUNTIF($A$1,"1S-Tanker Şoförü-MYO")*($AF$12)
+COUNTIF($A$1,"1S-Tanker Şoförü-Lise")*($AF$13)
+COUNTIF($A$1,"1S-Tanker Şoförü-Ortaokul")*($AF$14)
+COUNTIF($A$1,"1S-Tanker Şoförü-İlkokul")*($AF$15)
+COUNTIF($A$1,"1S-Vinç Operatörü-Üniversite")*($AF$16)
+COUNTIF($A$1,"1S-Vinç Operatörü-MYO")*($AF$17)
+COUNTIF($A$1,"1S-Vinç Operatörü-Lise")*($AF$18)
+COUNTIF($A$1,"1S-Vinç Operatörü-Ortaokul")*($AF$19)
+COUNTIF($A$1,"1S-Vinç Operatörü-İlkokul")*($AF$20)
+COUNTIF($A$1,"1S-Rampa Görevlisi-Üniversite")*($AF$21)
+COUNTIF($A$1,"1S-Rampa Görevlisi-MYO")*($AF$22)
+COUNTIF($A$1,"1S-Rampa Görevlisi-Lise")*($AF$23)
+COUNTIF($A$1,"1S-Rampa Görevlisi-Ortaokul")*($AF$24)
+COUNTIF($A$1,"1S-Rampa Görevlisi-İlkokul")*($AF$25)
+COUNTIF($A$1,"1S-Yakıt Hizmetlisi-Üniversite")*($AF$26)
+COUNTIF($A$1,"1S-Yakıt Hizmetlisi-MYO")*($AF$27)
+COUNTIF($A$1,"1S-Yakıt Hizmetlisi-Lise")*($AF$28)
+COUNTIF($A$1,"1S-Yakıt Hizmetlisi-Ortaokul")*($AF$29)
+COUNTIF($A$1,"1S-Yakıt Hizmetlisi-İlkokul")*($AF$30)
+COUNTIF($A$1,"2S-Rampa Görevlisi-Üniversite")*($AF$31)
+COUNTIF($A$1,"2S-Rampa Görevlisi-MYO")*($AF$32)
+COUNTIF($A$1,"2S-Rampa Görevlisi-Lise")*($AF$33)
+COUNTIF($A$1,"2S-Rampa Görevlisi-Ortaokul")*($AF$34)
+COUNTIF($A$1,"2S-Rampa Görevlisi-İlkokul")*($AF$35)
+COUNTIF($A$1,"2S-Hizmetliler-Üniversite")*($AF$36)
+COUNTIF($A$1,"2S-Hizmetliler-MYO")*($AF$37)
+COUNTIF($A$1,"2S-Hizmetliler-Lise")*($AF$38)
+COUNTIF($A$1,"2S-Hizmetliler-Ortaokul")*($AF$39)
+COUNTIF($A$1,"2S-Hizmetliler-İlkokul")*($AF$40)
+COUNTIF($A$1,"2S-Çaycı-Üniversite")*($AF$41)
+COUNTIF($A$1,"2S-Çaycı-MYO")*($AF$42)
+COUNTIF($A$1,"2S-Çaycı-Lise")*($AF$43)
+COUNTIF($A$1,"2S-Çaycı-Ortaokul")*($AF$44)
+COUNTIF($A$1,"2S-Çaycı-İlkokul")*($AF$45)
+COUNTIF($A$1,"2S-Gişe Sorumlusu-Üniversite")*($AF$46)
+COUNTIF($A$1,"2S-Gişe Sorumlusu-MYO")*($AF$47)
+COUNTIF($A$1,"2S-Gişe Sorumlusu-Lise")*($AF$48)
+COUNTIF($A$1,"2S-Gişe Sorumlusu-Ortaokul")*($AF$49)
+COUNTIF($A$1,"2S-Gişe Sorumlusu-İlkokul")*($AF$50)
+COUNTIF($A$1,"2S-Gişe Görevlisi-Üniversite")*($AF$51)
+COUNTIF($A$1,"2S-Gişe Görevlisi-MYO")*($AF$52)
+COUNTIF($A$1,"2S-Gişe Görevlisi-Lise")*($AF$53)
+COUNTIF($A$1,"2S-Gişe Görevlisi-Ortaokul")*($AF$54)
+COUNTIF($A$1,"2S-Gişe Görevlisi-İlkokul")*($AF$55)
+COUNTIF($A$1,"2S-Terminal Görevlisi-Üniversite")*($AF$56)
+COUNTIF($A$1,"2S-Terminal Görevlisi-MYO")*($AF$57)
+COUNTIF($A$1,"2S-Terminal Görevlisi-Lise")*($AF$58)
+COUNTIF($A$1,"2S-Terminal Görevlisi-Ortaokul")*($AF$59)
+COUNTIF($A$1,"2S-Terminal Görevlisi-İlkokul")*($AF$60)
+COUNTIF($A$1,"2S-İskele Görevlisi-Üniversite")*($AF$61)
+COUNTIF($A$1,"2S-İskele Görevlisi-MYO")*($AF$62)
+COUNTIF($A$1,"2S-İskele Görevlisi-Lise")*($AF$63)
+COUNTIF($A$1,"2S-İskele Görevlisi-Ortaokul")*($AF$64)
+COUNTIF($A$1,"2S-İskele Görevlisi-İlkokul")*($AF$65)
+COUNTIF($A$1,"Atölye-Formen")*($AF$66)
+COUNTIF($A$1,"Atölye-Teknisyen")*($AF$67)
+COUNTIF($A$1,"Atölye-Ustabaşı")*($AF$68)
+COUNTIF($A$1,"Atölye-Usta")*($AF$69)
+COUNTIF($A$1,"Atölye-İşçi")*($AF$70)</f>
        <v>149.5</v>
      </c>
      <c r="AS18" s="25">
        <f ca="1">(AO15*AJ15)</f>
        <v>5537.074093242506</v>
      </c>
      <c r="AT18" s="21">
        <f>(AR18*AJ15)</f>
        <v>4634.5</v>
      </c>
      <c r="AU18" s="21">
        <f ca="1">(AV18/CU20)</f>
        <v>0</v>
      </c>
      <c r="AV18" s="21">
        <f>(7.84*C17)</f>
        <v>0</v>
      </c>
      <c r="AW18" s="21">
        <f ca="1">(AX18/CU20)</f>
        <v>0</v>
      </c>
      <c r="AX18" s="21">
        <f>(AR18/7.5*1.5*D17)</f>
        <v>0</v>
      </c>
      <c r="AY18" s="21">
        <f ca="1">(AZ18/CU20)</f>
        <v>0</v>
      </c>
      <c r="AZ18" s="21">
        <f>(AR18/7.5*2*E17)</f>
        <v>0</v>
      </c>
      <c r="BA18" s="21">
        <f ca="1">(AS15)</f>
        <v>1139.27</v>
      </c>
      <c r="BB18" s="21">
        <f>(42*F17)</f>
        <v>840</v>
      </c>
      <c r="BC18" s="21">
        <f>COUNTIF($A$1,"Atölye-Formen")*(4.03*J15)
+COUNTIF($A$1,"Atölye-Teknisyen")*(4.03*J15)
+COUNTIF($A$1,"Atölye-Ustabaşı")*(4.03*J15)
+COUNTIF($A$1,"Atölye-Usta")*(4.03*J15)
+COUNTIF($A$1,"Atölye-İşçi")*(4.03*J15)</f>
        <v>0</v>
      </c>
      <c r="BD18" s="21">
        <f ca="1">(BE18/CU18)</f>
        <v>0</v>
      </c>
      <c r="BE18" s="21">
        <f>COUNTIF($A$1,"Atölye-Formen")*(5.35*K15)
+COUNTIF($A$1,"Atölye-Teknisyen")*(5.35*K15)
+COUNTIF($A$1,"Atölye-Ustabaşı")*(5.35*K15)
+COUNTIF($A$1,"Atölye-Usta")*(5.35*K15)
+COUNTIF($A$1,"Atölye-İşçi")*(5.35*K15)</f>
        <v>0</v>
      </c>
      <c r="BF18" s="21">
        <f ca="1">(BG18/CV18)</f>
        <v>0</v>
      </c>
      <c r="BG18" s="21">
        <f>COUNTIF($A$1,"2S-Gişe Sorumlusu-Üniversite")*(5.4*L15)
+COUNTIF($A$1,"2S-Gişe Sorumlusu-MYO")*(5.4*L15)
+COUNTIF($A$1,"2S-Gişe Sorumlusu-Lise")*(5.4*L15)
+COUNTIF($A$1,"2S-Gişe Sorumlusu-Ortaokul")*(5.4*L15)
+COUNTIF($A$1,"2S-Gişe Sorumlusu-İlkokul")*(5.4*L15)
+COUNTIF($A$1,"2S-Gişe Görevlisi-Üniversite")*(5.4*L15)
+COUNTIF($A$1,"2S-Gişe Görevlisi-MYO")*(5.4*L15)
+COUNTIF($A$1,"2S-Gişe Görevlisi-Lise")*(5.4*L15)
+COUNTIF($A$1,"2S-Gişe Görevlisi-Ortaokul")*(5.4*L15)
+COUNTIF($A$1,"2S-Gişe Görevlisi-İlkokul")*(5.4*L15)</f>
        <v>0</v>
      </c>
      <c r="BH18" s="21">
        <f ca="1">(BF18)</f>
        <v>0</v>
      </c>
      <c r="BI18" s="21">
        <f>(0)</f>
        <v>0</v>
      </c>
      <c r="BJ18" s="21">
        <f ca="1">(AI8+AM8+AN8-BI18)</f>
        <v>1061.4124999999999</v>
      </c>
      <c r="BK18" s="21">
        <f ca="1">(BJ18*CP24*-1)</f>
        <v>-212.2825</v>
      </c>
      <c r="BL18" s="21">
        <f ca="1">(BE6)</f>
        <v>0</v>
      </c>
      <c r="BU18" s="39" t="s">
        <v>0</v>
      </c>
      <c r="BV18" s="39" t="s">
        <v>0</v>
      </c>
      <c r="BW18" s="21" t="s">
        <v>0</v>
      </c>
      <c r="BX18" s="21">
        <f ca="1">(BC16+BE16+BG16+BI16+BK16+BD13+BJ13+BM13+BQ10+BO13+BC18+BE18+BG18+BY3+CB3*CP18)</f>
        <v>6277.3230645996045</v>
      </c>
      <c r="BY18" s="21">
        <f ca="1">(ROUND((BX18+CD18+CI18+CJ18+CS18),2))</f>
        <v>7765.57</v>
      </c>
      <c r="BZ18" s="21">
        <f ca="1">(ROUND(BY18*0.00759,2))</f>
        <v>58.94</v>
      </c>
      <c r="CA18" s="21">
        <f>(CH3)</f>
        <v>5004</v>
      </c>
      <c r="CB18" s="21">
        <f>(CA18*0.00759)</f>
        <v>37.980360000000005</v>
      </c>
      <c r="CC18" s="21">
        <f ca="1">(BY18-CA18)</f>
        <v>2761.5699999999997</v>
      </c>
      <c r="CD18" s="21">
        <f ca="1">(ROUND(CC18*0.00759,2))</f>
        <v>20.96</v>
      </c>
      <c r="CE18" s="21">
        <f ca="1">(CD18)</f>
        <v>20.96</v>
      </c>
      <c r="CF18" s="21">
        <f ca="1">(AU13+BF13+BH18+BX3)</f>
        <v>200.2</v>
      </c>
      <c r="CG18" s="21">
        <f t="shared" ref="CG18:CG21" ca="1" si="60">(BY18-CF18)</f>
        <v>7565.37</v>
      </c>
      <c r="CH18" s="21">
        <f ca="1">IF(CG18&gt;=CG3*7.5,CG3*7.5,CG18)</f>
        <v>7565.37</v>
      </c>
      <c r="CI18" s="21">
        <f ca="1">(ROUND(IF(CH18&gt;CG3*7.5,CG3*7.5*0.14,CH18*0.14),2))</f>
        <v>1059.1500000000001</v>
      </c>
      <c r="CJ18" s="21">
        <f ca="1">(ROUND(IF(CH18&gt;CG3*7.5,CG3*7.5*0.01,CH18*0.01),2))</f>
        <v>75.650000000000006</v>
      </c>
      <c r="CK18" s="21">
        <f ca="1">(AY13+BG13+BX3+CB3)</f>
        <v>160.75376399736308</v>
      </c>
      <c r="CL18" s="21">
        <f ca="1">(BY18-CI18-CJ18-CK18)</f>
        <v>6470.016236002637</v>
      </c>
      <c r="CM18" s="21">
        <f ca="1">SUM($CL$18:CL18)</f>
        <v>6470.016236002637</v>
      </c>
      <c r="CN18" s="30">
        <f t="shared" ref="CN18:CN29" ca="1" si="61">IF(CM18&lt;=$CQ$3,$CO$3,
IF(CM18&gt;$CQ$5,
IF(CM18&gt;$CQ$6,$CO$7,$CO$6),
IF(CM18&lt;$CQ$4,$CO$4,$CO$5)))</f>
        <v>0.15</v>
      </c>
      <c r="CO18" s="33">
        <f ca="1">IF(CN18-CN17=0,0,1)</f>
        <v>1</v>
      </c>
      <c r="CP18" s="35">
        <f t="shared" ref="CP18:CP29" ca="1" si="62">(IF(CO18=0,CN18,(VLOOKUP($CN18,$CO$3:$CR$7,2,0)-CM17)/CL18*CN17+(CM18-VLOOKUP($CN18,$CO$3:$CR$7,2,0))/CL18*CN18))</f>
        <v>0.15</v>
      </c>
      <c r="CQ18" s="21">
        <f ca="1">(ROUND(CL18*CP18,2)+VLOOKUP(CN18,$CO$3:$CR$7,4,0)*(-1))</f>
        <v>970.5</v>
      </c>
      <c r="CR18" s="21">
        <f>(CY3)</f>
        <v>638.01</v>
      </c>
      <c r="CS18" s="21">
        <f ca="1">(CQ18-CR18)</f>
        <v>332.49</v>
      </c>
      <c r="CT18" s="35">
        <f>(100+(100*0.00759*-1)+(100*0.14*-1)+(100*0.01*-1))/100</f>
        <v>0.84240999999999999</v>
      </c>
      <c r="CU18" s="35">
        <f ca="1">(100+(100*0.00759*-1)+(100*0.14*-1)+(100*0.01*-1)+(100+100*0.14*-1+100*0.01*-1)*CP18*-1)/100</f>
        <v>0.71491000000000005</v>
      </c>
      <c r="CV18" s="35">
        <f ca="1">(100+(100*0.00759*-1)+(100)*CP18*-1)/100</f>
        <v>0.84240999999999999</v>
      </c>
      <c r="CW18" s="21">
        <f ca="1">(BY18)</f>
        <v>7765.57</v>
      </c>
      <c r="CX18" s="21">
        <f ca="1">(CW18*0.205)</f>
        <v>1591.9418499999999</v>
      </c>
      <c r="CY18" s="21">
        <f ca="1">(CW18*0.01)</f>
        <v>77.655699999999996</v>
      </c>
      <c r="CZ18" s="21">
        <f ca="1">(CW18*0.05*-1)</f>
        <v>-388.27850000000001</v>
      </c>
      <c r="DA18" s="21">
        <f ca="1">(CW18+CX18+CY18+CZ18)</f>
        <v>9046.889049999998</v>
      </c>
      <c r="DC18" s="27">
        <v>16</v>
      </c>
      <c r="DD18" s="31">
        <v>8</v>
      </c>
      <c r="DE18" s="32">
        <v>0.18</v>
      </c>
      <c r="DF18" s="42"/>
    </row>
    <row r="19" spans="1:110" ht="39.950000000000003" customHeight="1" x14ac:dyDescent="0.25">
      <c r="A19" s="3">
        <f t="shared" ca="1" si="33"/>
        <v>0.1904117840560271</v>
      </c>
      <c r="B19" s="5" t="s">
        <v>16</v>
      </c>
      <c r="C19" s="14">
        <v>0</v>
      </c>
      <c r="D19" s="15">
        <v>0</v>
      </c>
      <c r="E19" s="15">
        <v>0</v>
      </c>
      <c r="F19" s="14">
        <v>20</v>
      </c>
      <c r="G19" s="16" t="s">
        <v>1</v>
      </c>
      <c r="H19" s="14">
        <v>0</v>
      </c>
      <c r="I19" s="14">
        <v>0</v>
      </c>
      <c r="J19" s="14">
        <v>0</v>
      </c>
      <c r="K19" s="14">
        <v>0</v>
      </c>
      <c r="L19" s="14">
        <v>0</v>
      </c>
      <c r="M19" s="17" t="s">
        <v>1</v>
      </c>
      <c r="N19" s="17" t="s">
        <v>1</v>
      </c>
      <c r="O19" s="17" t="s">
        <v>1</v>
      </c>
      <c r="P19" s="18">
        <v>0</v>
      </c>
      <c r="Q19" s="6">
        <f ca="1">(AV8+BG6+BI6-BB8-BF8-BG8-CS22-R19)</f>
        <v>5448.4924847231323</v>
      </c>
      <c r="R19" s="6">
        <f ca="1">(AX2+AZ2+BB2+BJ6)</f>
        <v>840</v>
      </c>
      <c r="S19" s="7">
        <f t="shared" ca="1" si="41"/>
        <v>6288.4924847231323</v>
      </c>
      <c r="T19" s="44" t="s">
        <v>35</v>
      </c>
      <c r="U19" s="45">
        <f t="shared" ca="1" si="27"/>
        <v>15320.64</v>
      </c>
      <c r="V19" s="46">
        <f ca="1">COUNTIF(W1,"Ocak")*(CS18)*-1
+COUNTIF(W1,"Şubat")*(CS19)*-1
+COUNTIF(W1,"Mart")*(CS20)*-1
+COUNTIF(W1,"Nisan")*(CS21)*-1
+COUNTIF(W1,"Mayıs")*(CS22)*-1
+COUNTIF(W1,"Haziran")*(CS23)*-1
+COUNTIF(W1,"Temmuz")*(CS24)*-1
+COUNTIF(W1,"Ağustos")*(CS25)*-1
+COUNTIF(W1,"Eylül")*(CS26)*-1
+COUNTIF(W1,"Ekim")*(BH8)*-1
+COUNTIF(W1,"Kasım")*(BH9)*-1
+COUNTIF(W1,"Aralık")*(BH10)*-1
+COUNTIF(W1,"Yıllık Toplam")*(CS30)*-1
+COUNTIF(W1,"Yıllık Ortalama")*(CS31)*-1</f>
        <v>-15320.64</v>
      </c>
      <c r="W19" s="71"/>
      <c r="X19" s="65"/>
      <c r="Y19" s="47" t="s">
        <v>0</v>
      </c>
      <c r="Z19" s="51" t="s">
        <v>0</v>
      </c>
      <c r="AA19" s="54"/>
      <c r="AB19" s="55"/>
      <c r="AC19" s="57"/>
      <c r="AD19" s="56"/>
      <c r="AE19" s="39" t="s">
        <v>99</v>
      </c>
      <c r="AF19" s="21">
        <v>182.25</v>
      </c>
      <c r="AG19" s="21">
        <v>207.57</v>
      </c>
      <c r="AH19" s="22">
        <f>(AI18+1)</f>
        <v>44835</v>
      </c>
      <c r="AI19" s="22">
        <f>EOMONTH(AH19,0)</f>
        <v>44865</v>
      </c>
      <c r="AJ19" s="23">
        <f>DAY(AI19)</f>
        <v>31</v>
      </c>
      <c r="AK19" s="23">
        <f>NETWORKDAYS.INTL(AH19,AI19,11)</f>
        <v>26</v>
      </c>
      <c r="AL19" s="23">
        <f>(AJ19-AK19)</f>
        <v>5</v>
      </c>
      <c r="AM19" s="24">
        <f ca="1">(AN19/BJ8)</f>
        <v>311.74234390040954</v>
      </c>
      <c r="AN19"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O19" s="24">
        <f ca="1">(AP19+CB24/AJ19*-1+CR27/AJ19*-1)/(BJ8)</f>
        <v>251.25959713076858</v>
      </c>
      <c r="AP19"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Q19" s="24">
        <f ca="1">(AR22/BJ8)</f>
        <v>311.74234390040954</v>
      </c>
      <c r="AR19"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19" s="25">
        <f ca="1">(AO16*AJ16)</f>
        <v>7508.8191876979809</v>
      </c>
      <c r="AT19" s="21">
        <f>(AR19*AJ16)</f>
        <v>5923.17</v>
      </c>
      <c r="AU19" s="21">
        <f ca="1">(AV19/CU24)</f>
        <v>0</v>
      </c>
      <c r="AV19" s="21">
        <f>(7.84*C21)</f>
        <v>0</v>
      </c>
      <c r="AW19" s="21">
        <f ca="1">(AX19/CU24)</f>
        <v>0</v>
      </c>
      <c r="AX19" s="21">
        <f>(AR19/7.5*1.5*D21)</f>
        <v>0</v>
      </c>
      <c r="AY19" s="21">
        <f ca="1">(AZ19/CU24)</f>
        <v>0</v>
      </c>
      <c r="AZ19" s="21">
        <f>(AR19/7.5*2*E21)</f>
        <v>0</v>
      </c>
      <c r="BA19" s="21">
        <f ca="1">(AI8)</f>
        <v>1203.05</v>
      </c>
      <c r="BB19" s="21">
        <f>(42*F21)</f>
        <v>840</v>
      </c>
      <c r="BC19" s="21">
        <f>COUNTIF($A$1,"Atölye-Formen")*(4.03*J16)
+COUNTIF($A$1,"Atölye-Teknisyen")*(4.03*J16)
+COUNTIF($A$1,"Atölye-Ustabaşı")*(4.03*J16)
+COUNTIF($A$1,"Atölye-Usta")*(4.03*J16)
+COUNTIF($A$1,"Atölye-İşçi")*(4.03*J16)</f>
        <v>0</v>
      </c>
      <c r="BD19" s="21">
        <f ca="1">(BE19/CU19)</f>
        <v>0</v>
      </c>
      <c r="BE19" s="21">
        <f>COUNTIF($A$1,"Atölye-Formen")*(5.35*K16)
+COUNTIF($A$1,"Atölye-Teknisyen")*(5.35*K16)
+COUNTIF($A$1,"Atölye-Ustabaşı")*(5.35*K16)
+COUNTIF($A$1,"Atölye-Usta")*(5.35*K16)
+COUNTIF($A$1,"Atölye-İşçi")*(5.35*K16)</f>
        <v>0</v>
      </c>
      <c r="BF19" s="21">
        <f ca="1">(BG19/CV19)</f>
        <v>0</v>
      </c>
      <c r="BG19" s="21">
        <f>COUNTIF($A$1,"2S-Gişe Sorumlusu-Üniversite")*(5.4*L16)
+COUNTIF($A$1,"2S-Gişe Sorumlusu-MYO")*(5.4*L16)
+COUNTIF($A$1,"2S-Gişe Sorumlusu-Lise")*(5.4*L16)
+COUNTIF($A$1,"2S-Gişe Sorumlusu-Ortaokul")*(5.4*L16)
+COUNTIF($A$1,"2S-Gişe Sorumlusu-İlkokul")*(5.4*L16)
+COUNTIF($A$1,"2S-Gişe Görevlisi-Üniversite")*(5.4*L16)
+COUNTIF($A$1,"2S-Gişe Görevlisi-MYO")*(5.4*L16)
+COUNTIF($A$1,"2S-Gişe Görevlisi-Lise")*(5.4*L16)
+COUNTIF($A$1,"2S-Gişe Görevlisi-Ortaokul")*(5.4*L16)
+COUNTIF($A$1,"2S-Gişe Görevlisi-İlkokul")*(5.4*L16)</f>
        <v>0</v>
      </c>
      <c r="BH19" s="21">
        <f ca="1">(BF19)</f>
        <v>0</v>
      </c>
      <c r="BI19" s="21">
        <f>(0)</f>
        <v>0</v>
      </c>
      <c r="BJ19" s="21">
        <f ca="1">(AI9+AM9+AN9-BI19)</f>
        <v>1061.4124999999999</v>
      </c>
      <c r="BK19" s="21">
        <f ca="1">(BJ19*CP25*-1)</f>
        <v>-212.2825</v>
      </c>
      <c r="BL19" s="21">
        <f ca="1">(BE7)</f>
        <v>0</v>
      </c>
      <c r="BU19" s="39" t="s">
        <v>0</v>
      </c>
      <c r="BV19" s="39" t="s">
        <v>0</v>
      </c>
      <c r="BW19" s="21" t="s">
        <v>0</v>
      </c>
      <c r="BX19" s="21">
        <f ca="1">(BC17+BE17+BG17+BI17+BK17+BD14+BJ14+BM14+BC25+BE25+BC19+BE19+BG19+BY4+CB4*CP19)</f>
        <v>5828.3818758505067</v>
      </c>
      <c r="BY19" s="21">
        <f t="shared" ref="BY19:BY21" ca="1" si="63">(ROUND((BX19+CD19+CI19+CJ19+CS19),2))</f>
        <v>7138.24</v>
      </c>
      <c r="BZ19" s="21">
        <f t="shared" ref="BZ19:BZ21" ca="1" si="64">(ROUND(BY19*0.00759,2))</f>
        <v>54.18</v>
      </c>
      <c r="CA19" s="21">
        <f>(CH4)</f>
        <v>5004</v>
      </c>
      <c r="CB19" s="21">
        <f t="shared" ref="CB19:CB21" si="65">(CA19*0.00759)</f>
        <v>37.980360000000005</v>
      </c>
      <c r="CC19" s="21">
        <f t="shared" ref="CC19:CC21" ca="1" si="66">(BY19-CA19)</f>
        <v>2134.2399999999998</v>
      </c>
      <c r="CD19" s="21">
        <f t="shared" ref="CD19:CD21" ca="1" si="67">(ROUND(CC19*0.00759,2))</f>
        <v>16.2</v>
      </c>
      <c r="CE19" s="21">
        <f t="shared" ref="CE19:CE21" ca="1" si="68">(CD19)</f>
        <v>16.2</v>
      </c>
      <c r="CF19" s="21">
        <f ca="1">(AU14+BF14+BH19+BX4)</f>
        <v>200.2</v>
      </c>
      <c r="CG19" s="21">
        <f t="shared" ca="1" si="60"/>
        <v>6938.04</v>
      </c>
      <c r="CH19" s="21">
        <f ca="1">IF(CG19&gt;=CG4*7.5,CG4*7.5,CG19)</f>
        <v>6938.04</v>
      </c>
      <c r="CI19" s="21">
        <f ca="1">(ROUND(IF(CH19&gt;CG4*7.5,CG4*7.5*0.14,CH19*0.14),2))</f>
        <v>971.33</v>
      </c>
      <c r="CJ19" s="21">
        <f ca="1">(ROUND(IF(CH19&gt;CG4*7.5,CG4*7.5*0.01,CH19*0.01),2))</f>
        <v>69.38</v>
      </c>
      <c r="CK19" s="21">
        <f ca="1">(AY14+BG14+BX4+CB4)</f>
        <v>157.81250567004437</v>
      </c>
      <c r="CL19" s="21">
        <f t="shared" ref="CL19:CL21" ca="1" si="69">(BY19-CI19-CJ19-CK19)</f>
        <v>5939.7174943299551</v>
      </c>
      <c r="CM19" s="21">
        <f ca="1">SUM($CL$18:CL19)</f>
        <v>12409.733730332591</v>
      </c>
      <c r="CN19" s="30">
        <f t="shared" ca="1" si="61"/>
        <v>0.15</v>
      </c>
      <c r="CO19" s="33">
        <f t="shared" ref="CO19:CO29" ca="1" si="70">IF(CN19-CN18=0,0,1)</f>
        <v>0</v>
      </c>
      <c r="CP19" s="35">
        <f t="shared" ca="1" si="62"/>
        <v>0.15</v>
      </c>
      <c r="CQ19" s="21">
        <f ca="1">(ROUND(CL19*CP19,2))</f>
        <v>890.96</v>
      </c>
      <c r="CR19" s="21">
        <f>(CY4)</f>
        <v>638.01</v>
      </c>
      <c r="CS19" s="21">
        <f t="shared" ref="CS19:CS26" ca="1" si="71">(CQ19-CR19)</f>
        <v>252.95000000000005</v>
      </c>
      <c r="CT19" s="35">
        <f t="shared" si="19"/>
        <v>0.84240999999999999</v>
      </c>
      <c r="CU19" s="35">
        <f t="shared" ref="CU19:CU26" ca="1" si="72">(100+(100*0.00759*-1)+(100*0.14*-1)+(100*0.01*-1)+(100+100*0.14*-1+100*0.01*-1)*CP19*-1)/100</f>
        <v>0.71491000000000005</v>
      </c>
      <c r="CV19" s="35">
        <f t="shared" ref="CV19:CV26" ca="1" si="73">(100+(100*0.00759*-1)+(100)*CP19*-1)/100</f>
        <v>0.84240999999999999</v>
      </c>
      <c r="CW19" s="21">
        <f ca="1">(BY19)</f>
        <v>7138.24</v>
      </c>
      <c r="CX19" s="21">
        <f t="shared" ref="CX19:CX26" ca="1" si="74">(CW19*0.205)</f>
        <v>1463.3391999999999</v>
      </c>
      <c r="CY19" s="21">
        <f t="shared" ref="CY19:CY26" ca="1" si="75">(CW19*0.01)</f>
        <v>71.382400000000004</v>
      </c>
      <c r="CZ19" s="21">
        <f t="shared" ref="CZ19:CZ26" ca="1" si="76">(CW19*0.05*-1)</f>
        <v>-356.91200000000003</v>
      </c>
      <c r="DA19" s="21">
        <f t="shared" ref="DA19:DA26" ca="1" si="77">(CW19+CX19+CY19+CZ19)</f>
        <v>8316.0496000000003</v>
      </c>
      <c r="DC19" s="27">
        <v>17</v>
      </c>
      <c r="DD19" s="31">
        <v>8.5</v>
      </c>
      <c r="DE19" s="32">
        <v>0.19</v>
      </c>
      <c r="DF19" s="42"/>
    </row>
    <row r="20" spans="1:110" ht="39.950000000000003" customHeight="1" x14ac:dyDescent="0.25">
      <c r="A20" s="3">
        <f t="shared" ca="1" si="33"/>
        <v>0.2</v>
      </c>
      <c r="B20" s="5" t="s">
        <v>17</v>
      </c>
      <c r="C20" s="14">
        <v>0</v>
      </c>
      <c r="D20" s="15">
        <v>0</v>
      </c>
      <c r="E20" s="15">
        <v>0</v>
      </c>
      <c r="F20" s="14">
        <v>20</v>
      </c>
      <c r="G20" s="16" t="s">
        <v>1</v>
      </c>
      <c r="H20" s="14">
        <v>0</v>
      </c>
      <c r="I20" s="14">
        <v>0</v>
      </c>
      <c r="J20" s="14">
        <v>0</v>
      </c>
      <c r="K20" s="14">
        <v>0</v>
      </c>
      <c r="L20" s="14">
        <v>0</v>
      </c>
      <c r="M20" s="17" t="s">
        <v>1</v>
      </c>
      <c r="N20" s="17" t="s">
        <v>1</v>
      </c>
      <c r="O20" s="17" t="s">
        <v>1</v>
      </c>
      <c r="P20" s="18">
        <v>0</v>
      </c>
      <c r="Q20" s="6">
        <f ca="1">(AV9+BG7+BI7-BB9-BF9-BG9-CS23-R20)</f>
        <v>9784.7586112639601</v>
      </c>
      <c r="R20" s="6">
        <f ca="1">(AX3+AZ3+BB3+BJ7)</f>
        <v>840</v>
      </c>
      <c r="S20" s="7">
        <f t="shared" ca="1" si="41"/>
        <v>10624.75861126396</v>
      </c>
      <c r="T20" s="44" t="s">
        <v>75</v>
      </c>
      <c r="U20" s="45">
        <f t="shared" ca="1" si="27"/>
        <v>164647.98209999999</v>
      </c>
      <c r="V20" s="46">
        <f ca="1">COUNTIF(W1,"Ocak")*(DA18)
+COUNTIF(W1,"Şubat")*(DA19)
+COUNTIF(W1,"Mart")*(DA20)
+COUNTIF(W1,"Nisan")*(DA21)
+COUNTIF(W1,"Mayıs")*(DA22)
+COUNTIF(W1,"Haziran")*(DA23)
+COUNTIF(W1,"Temmuz")*(DA24)
+COUNTIF(W1,"Ağustos")*(DA25)
+COUNTIF(W1,"Eylül")*(DA26)
+COUNTIF(W1,"Ekim")*(BP7)
+COUNTIF(W1,"Kasım")*(BP8)
+COUNTIF(W1,"Aralık")*(BP9)
+COUNTIF(W1,"Yıllık Toplam")*(DA30)
+COUNTIF(W1,"Yıllık Ortalama")*(DA31)</f>
        <v>164647.98209999999</v>
      </c>
      <c r="W20" s="71"/>
      <c r="X20" s="65"/>
      <c r="Y20" s="47" t="s">
        <v>0</v>
      </c>
      <c r="Z20" s="51" t="s">
        <v>0</v>
      </c>
      <c r="AA20" s="54"/>
      <c r="AB20" s="55"/>
      <c r="AC20" s="57"/>
      <c r="AD20" s="56"/>
      <c r="AE20" s="39" t="s">
        <v>100</v>
      </c>
      <c r="AF20" s="21">
        <v>182</v>
      </c>
      <c r="AG20" s="21">
        <v>206.57</v>
      </c>
      <c r="AH20" s="38" t="s">
        <v>0</v>
      </c>
      <c r="AI20" s="38" t="s">
        <v>0</v>
      </c>
      <c r="AJ20" s="26">
        <f t="shared" ref="AJ20:AQ20" si="78">(AJ13+AJ14+AJ15+AJ1+AJ2+AJ3+AJ16+AJ17+AJ18+AJ19+AJ11+AJ12)</f>
        <v>365</v>
      </c>
      <c r="AK20" s="26">
        <f t="shared" si="78"/>
        <v>313</v>
      </c>
      <c r="AL20" s="26">
        <f t="shared" si="78"/>
        <v>52</v>
      </c>
      <c r="AM20" s="21">
        <f t="shared" ca="1" si="78"/>
        <v>3088.4692156809947</v>
      </c>
      <c r="AN20" s="21">
        <f t="shared" si="78"/>
        <v>2043.4199999999996</v>
      </c>
      <c r="AO20" s="21">
        <f t="shared" ca="1" si="78"/>
        <v>2557.0027106843281</v>
      </c>
      <c r="AP20" s="21">
        <f t="shared" si="78"/>
        <v>2043.4199999999996</v>
      </c>
      <c r="AQ20" s="21">
        <f t="shared" ca="1" si="78"/>
        <v>3088.4692156809947</v>
      </c>
      <c r="AR20"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20" s="25">
        <f ca="1">(AO17*AJ17)</f>
        <v>7172.6254963489537</v>
      </c>
      <c r="AT20" s="21">
        <f>(AR20*AJ17)</f>
        <v>5923.17</v>
      </c>
      <c r="AU20" s="21">
        <f ca="1">(AV20/CU25)</f>
        <v>0</v>
      </c>
      <c r="AV20" s="21">
        <f>(7.84*C22)</f>
        <v>0</v>
      </c>
      <c r="AW20" s="21">
        <f ca="1">(AX20/CU25)</f>
        <v>0</v>
      </c>
      <c r="AX20" s="21">
        <f>(AR20/7.5*1.5*D22)</f>
        <v>0</v>
      </c>
      <c r="AY20" s="21">
        <f ca="1">(AZ20/CU25)</f>
        <v>0</v>
      </c>
      <c r="AZ20" s="21">
        <f>(AR20/7.5*2*E22)</f>
        <v>0</v>
      </c>
      <c r="BA20" s="21">
        <f ca="1">(AI9)</f>
        <v>1203.05</v>
      </c>
      <c r="BB20" s="21">
        <f>(42*F22)</f>
        <v>840</v>
      </c>
      <c r="BC20" s="21">
        <f>COUNTIF($A$1,"Atölye-Formen")*(4.03*J17)
+COUNTIF($A$1,"Atölye-Teknisyen")*(4.03*J17)
+COUNTIF($A$1,"Atölye-Ustabaşı")*(4.03*J17)
+COUNTIF($A$1,"Atölye-Usta")*(4.03*J17)
+COUNTIF($A$1,"Atölye-İşçi")*(4.03*J17)</f>
        <v>0</v>
      </c>
      <c r="BD20" s="21">
        <f ca="1">(BE20/CU20)</f>
        <v>0</v>
      </c>
      <c r="BE20" s="21">
        <f>COUNTIF($A$1,"Atölye-Formen")*(5.35*K17)
+COUNTIF($A$1,"Atölye-Teknisyen")*(5.35*K17)
+COUNTIF($A$1,"Atölye-Ustabaşı")*(5.35*K17)
+COUNTIF($A$1,"Atölye-Usta")*(5.35*K17)
+COUNTIF($A$1,"Atölye-İşçi")*(5.35*K17)</f>
        <v>0</v>
      </c>
      <c r="BF20" s="21">
        <f ca="1">(BG20/CV20)</f>
        <v>0</v>
      </c>
      <c r="BG20" s="21">
        <f>COUNTIF($A$1,"2S-Gişe Sorumlusu-Üniversite")*(5.4*L17)
+COUNTIF($A$1,"2S-Gişe Sorumlusu-MYO")*(5.4*L17)
+COUNTIF($A$1,"2S-Gişe Sorumlusu-Lise")*(5.4*L17)
+COUNTIF($A$1,"2S-Gişe Sorumlusu-Ortaokul")*(5.4*L17)
+COUNTIF($A$1,"2S-Gişe Sorumlusu-İlkokul")*(5.4*L17)
+COUNTIF($A$1,"2S-Gişe Görevlisi-Üniversite")*(5.4*L17)
+COUNTIF($A$1,"2S-Gişe Görevlisi-MYO")*(5.4*L17)
+COUNTIF($A$1,"2S-Gişe Görevlisi-Lise")*(5.4*L17)
+COUNTIF($A$1,"2S-Gişe Görevlisi-Ortaokul")*(5.4*L17)
+COUNTIF($A$1,"2S-Gişe Görevlisi-İlkokul")*(5.4*L17)</f>
        <v>0</v>
      </c>
      <c r="BH20" s="21">
        <f ca="1">(BF20)</f>
        <v>0</v>
      </c>
      <c r="BI20" s="21">
        <f>(0)</f>
        <v>0</v>
      </c>
      <c r="BJ20" s="21">
        <f ca="1">(AI10+AM10+AN10-BI20)</f>
        <v>1144.6955</v>
      </c>
      <c r="BK20" s="21">
        <f ca="1">(BJ20*CP26*-1)</f>
        <v>-294.82042190274285</v>
      </c>
      <c r="BU20" s="39" t="s">
        <v>0</v>
      </c>
      <c r="BV20" s="39" t="s">
        <v>0</v>
      </c>
      <c r="BW20" s="21" t="s">
        <v>0</v>
      </c>
      <c r="BX20" s="21">
        <f ca="1">(AT18+AV18+AX18+AZ18+BB18+BD15+BJ15+BM15+BC26+BE26+BC20+BE20+BG20+BY5+BH4*CP20)</f>
        <v>10762.323064599603</v>
      </c>
      <c r="BY20" s="21">
        <f t="shared" ca="1" si="63"/>
        <v>14039.11</v>
      </c>
      <c r="BZ20" s="21">
        <f t="shared" ca="1" si="64"/>
        <v>106.56</v>
      </c>
      <c r="CA20" s="21">
        <f>(BN3)</f>
        <v>5004</v>
      </c>
      <c r="CB20" s="21">
        <f t="shared" si="65"/>
        <v>37.980360000000005</v>
      </c>
      <c r="CC20" s="21">
        <f t="shared" ca="1" si="66"/>
        <v>9035.11</v>
      </c>
      <c r="CD20" s="21">
        <f t="shared" ca="1" si="67"/>
        <v>68.58</v>
      </c>
      <c r="CE20" s="21">
        <f t="shared" ca="1" si="68"/>
        <v>68.58</v>
      </c>
      <c r="CF20" s="21">
        <f ca="1">(AU15+BF15+BH20+BX5)</f>
        <v>200.2</v>
      </c>
      <c r="CG20" s="21">
        <f t="shared" ca="1" si="60"/>
        <v>13838.91</v>
      </c>
      <c r="CH20" s="21">
        <f ca="1">IF(CG20&gt;=BM3*7.5,BM3*7.5,CG20)</f>
        <v>13838.91</v>
      </c>
      <c r="CI20" s="21">
        <f ca="1">(ROUND(IF(CH20&gt;BM3*7.5,BM3*7.5*0.14,CH20*0.14),2))</f>
        <v>1937.45</v>
      </c>
      <c r="CJ20" s="21">
        <f ca="1">(ROUND(IF(CH20&gt;BM3*7.5,BM3*7.5*0.01,CH20*0.01),2))</f>
        <v>138.38999999999999</v>
      </c>
      <c r="CK20" s="21">
        <f ca="1">(AY15+BG15+BX5+BH4)</f>
        <v>160.75376399736308</v>
      </c>
      <c r="CL20" s="21">
        <f t="shared" ca="1" si="69"/>
        <v>11802.516236002637</v>
      </c>
      <c r="CM20" s="21">
        <f ca="1">SUM($CL$18:CL20)</f>
        <v>24212.249966335228</v>
      </c>
      <c r="CN20" s="30">
        <f t="shared" ca="1" si="61"/>
        <v>0.15</v>
      </c>
      <c r="CO20" s="33">
        <f t="shared" ca="1" si="70"/>
        <v>0</v>
      </c>
      <c r="CP20" s="35">
        <f t="shared" ca="1" si="62"/>
        <v>0.15</v>
      </c>
      <c r="CQ20" s="21">
        <f t="shared" ref="CQ20:CQ29" ca="1" si="79">(ROUND(CL20*CP20,2))</f>
        <v>1770.38</v>
      </c>
      <c r="CR20" s="21">
        <f>(CY5)</f>
        <v>638.01</v>
      </c>
      <c r="CS20" s="21">
        <f t="shared" ca="1" si="71"/>
        <v>1132.3700000000001</v>
      </c>
      <c r="CT20" s="35">
        <f t="shared" si="19"/>
        <v>0.84240999999999999</v>
      </c>
      <c r="CU20" s="35">
        <f t="shared" ca="1" si="72"/>
        <v>0.71491000000000005</v>
      </c>
      <c r="CV20" s="35">
        <f t="shared" ca="1" si="73"/>
        <v>0.84240999999999999</v>
      </c>
      <c r="CW20" s="21">
        <f ca="1">(BY20)</f>
        <v>14039.11</v>
      </c>
      <c r="CX20" s="21">
        <f t="shared" ca="1" si="74"/>
        <v>2878.01755</v>
      </c>
      <c r="CY20" s="21">
        <f t="shared" ca="1" si="75"/>
        <v>140.39110000000002</v>
      </c>
      <c r="CZ20" s="21">
        <f t="shared" ca="1" si="76"/>
        <v>-701.95550000000003</v>
      </c>
      <c r="DA20" s="21">
        <f t="shared" ca="1" si="77"/>
        <v>16355.563150000002</v>
      </c>
      <c r="DC20" s="27">
        <v>18</v>
      </c>
      <c r="DD20" s="31">
        <v>9</v>
      </c>
      <c r="DE20" s="32">
        <v>0.2</v>
      </c>
      <c r="DF20" s="42"/>
    </row>
    <row r="21" spans="1:110" ht="39.950000000000003" customHeight="1" x14ac:dyDescent="0.25">
      <c r="A21" s="3">
        <f t="shared" ca="1" si="33"/>
        <v>0.2</v>
      </c>
      <c r="B21" s="5" t="s">
        <v>18</v>
      </c>
      <c r="C21" s="14">
        <v>0</v>
      </c>
      <c r="D21" s="15">
        <v>0</v>
      </c>
      <c r="E21" s="15">
        <v>0</v>
      </c>
      <c r="F21" s="14">
        <v>20</v>
      </c>
      <c r="G21" s="16" t="s">
        <v>1</v>
      </c>
      <c r="H21" s="14">
        <v>0</v>
      </c>
      <c r="I21" s="14">
        <v>0</v>
      </c>
      <c r="J21" s="14">
        <v>0</v>
      </c>
      <c r="K21" s="14">
        <v>0</v>
      </c>
      <c r="L21" s="14">
        <v>0</v>
      </c>
      <c r="M21" s="17" t="s">
        <v>1</v>
      </c>
      <c r="N21" s="17" t="s">
        <v>1</v>
      </c>
      <c r="O21" s="17" t="s">
        <v>1</v>
      </c>
      <c r="P21" s="18">
        <v>0</v>
      </c>
      <c r="Q21" s="6">
        <f ca="1">(AV10+CA9+CC9-BB10-BF10-BG10-CS24-R21)</f>
        <v>6800.7720235829602</v>
      </c>
      <c r="R21" s="6">
        <f ca="1">(AX19+AZ19+BB19+CD9)</f>
        <v>840</v>
      </c>
      <c r="S21" s="7">
        <f t="shared" ca="1" si="41"/>
        <v>7640.7720235829602</v>
      </c>
      <c r="T21" s="47" t="s">
        <v>44</v>
      </c>
      <c r="U21" s="45">
        <f t="shared" ca="1" si="27"/>
        <v>102370.45756038409</v>
      </c>
      <c r="V21" s="45">
        <f ca="1">COUNTIF(W1,"Ocak")*S15
+COUNTIF(W1,"Şubat")*S16
+COUNTIF(W1,"Mart")*S17
+COUNTIF(W1,"Nisan")*S18
+COUNTIF(W1,"Mayıs")*S19
+COUNTIF(W1,"Haziran")*S20
+COUNTIF(W1,"Temmuz")*S21
+COUNTIF(W1,"Ağustos")*S22
+COUNTIF(W1,"Eylül")*S23
+COUNTIF(W1,"Ekim")*S24
+COUNTIF(W1,"Kasım")*S25
+COUNTIF(W1,"Aralık")*S26
+COUNTIF(W1,"Yıllık Toplam")*(S27)*-1
+COUNTIF(W1,"Yıllık Ortalama")*(S28)*-1</f>
        <v>-102370.45756038409</v>
      </c>
      <c r="W21" s="71"/>
      <c r="X21" s="65"/>
      <c r="Y21" s="47" t="s">
        <v>0</v>
      </c>
      <c r="Z21" s="51" t="s">
        <v>0</v>
      </c>
      <c r="AA21" s="54"/>
      <c r="AB21" s="55"/>
      <c r="AC21" s="57"/>
      <c r="AD21" s="56"/>
      <c r="AE21" s="39" t="s">
        <v>101</v>
      </c>
      <c r="AF21" s="21">
        <v>188.73</v>
      </c>
      <c r="AG21" s="21">
        <v>210.57</v>
      </c>
      <c r="AH21" s="38" t="s">
        <v>0</v>
      </c>
      <c r="AI21" s="38" t="s">
        <v>0</v>
      </c>
      <c r="AJ21" s="38" t="s">
        <v>0</v>
      </c>
      <c r="AK21" s="38" t="s">
        <v>0</v>
      </c>
      <c r="AL21" s="38" t="s">
        <v>0</v>
      </c>
      <c r="AM21" s="21">
        <f ca="1">(AM20/12)</f>
        <v>257.37243464008287</v>
      </c>
      <c r="AN21" s="21">
        <f>(AN20/12)</f>
        <v>170.28499999999997</v>
      </c>
      <c r="AO21" s="21">
        <f ca="1">(AO20/12)</f>
        <v>213.08355922369401</v>
      </c>
      <c r="AP21" s="21">
        <f>(AP20/12)</f>
        <v>170.28499999999997</v>
      </c>
      <c r="AQ21" s="21">
        <f ca="1">(AQ20/12)</f>
        <v>257.37243464008287</v>
      </c>
      <c r="AR21"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21" s="25">
        <f ca="1">(AO18*AJ18)</f>
        <v>7350.4291803325932</v>
      </c>
      <c r="AT21" s="21">
        <f>(AR21*AJ18)</f>
        <v>5732.0999999999995</v>
      </c>
      <c r="AU21" s="21">
        <f ca="1">(AV21/CU26)</f>
        <v>0</v>
      </c>
      <c r="AV21" s="21">
        <f>(7.84*C23)</f>
        <v>0</v>
      </c>
      <c r="AW21" s="21">
        <f ca="1">(AX21/CU26)</f>
        <v>0</v>
      </c>
      <c r="AX21" s="21">
        <f>(AR21/7.5*1.5*D23)</f>
        <v>0</v>
      </c>
      <c r="AY21" s="21">
        <f ca="1">(AZ21/CU26)</f>
        <v>0</v>
      </c>
      <c r="AZ21" s="21">
        <f>(AR21/7.5*2*E23)</f>
        <v>0</v>
      </c>
      <c r="BA21" s="21">
        <f ca="1">(AI10)</f>
        <v>1301.03</v>
      </c>
      <c r="BB21" s="21">
        <f>(42*F23)</f>
        <v>840</v>
      </c>
      <c r="BC21" s="21">
        <f>COUNTIF($A$1,"Atölye-Formen")*(4.03*J18)
+COUNTIF($A$1,"Atölye-Teknisyen")*(4.03*J18)
+COUNTIF($A$1,"Atölye-Ustabaşı")*(4.03*J18)
+COUNTIF($A$1,"Atölye-Usta")*(4.03*J18)
+COUNTIF($A$1,"Atölye-İşçi")*(4.03*J18)</f>
        <v>0</v>
      </c>
      <c r="BD21" s="21">
        <f ca="1">(BE21/CU21)</f>
        <v>0</v>
      </c>
      <c r="BE21" s="21">
        <f>COUNTIF($A$1,"Atölye-Formen")*(5.35*K18)
+COUNTIF($A$1,"Atölye-Teknisyen")*(5.35*K18)
+COUNTIF($A$1,"Atölye-Ustabaşı")*(5.35*K18)
+COUNTIF($A$1,"Atölye-Usta")*(5.35*K18)
+COUNTIF($A$1,"Atölye-İşçi")*(5.35*K18)</f>
        <v>0</v>
      </c>
      <c r="BF21" s="21">
        <f ca="1">(BG21/CV21)</f>
        <v>0</v>
      </c>
      <c r="BG21" s="21">
        <f>COUNTIF($A$1,"2S-Gişe Sorumlusu-Üniversite")*(5.4*L18)
+COUNTIF($A$1,"2S-Gişe Sorumlusu-MYO")*(5.4*L18)
+COUNTIF($A$1,"2S-Gişe Sorumlusu-Lise")*(5.4*L18)
+COUNTIF($A$1,"2S-Gişe Sorumlusu-Ortaokul")*(5.4*L18)
+COUNTIF($A$1,"2S-Gişe Sorumlusu-İlkokul")*(5.4*L18)
+COUNTIF($A$1,"2S-Gişe Görevlisi-Üniversite")*(5.4*L18)
+COUNTIF($A$1,"2S-Gişe Görevlisi-MYO")*(5.4*L18)
+COUNTIF($A$1,"2S-Gişe Görevlisi-Lise")*(5.4*L18)
+COUNTIF($A$1,"2S-Gişe Görevlisi-Ortaokul")*(5.4*L18)
+COUNTIF($A$1,"2S-Gişe Görevlisi-İlkokul")*(5.4*L18)</f>
        <v>0</v>
      </c>
      <c r="BH21" s="21">
        <f ca="1">(BF21)</f>
        <v>0</v>
      </c>
      <c r="BI21" s="21">
        <f ca="1">(BJ21/CU26)</f>
        <v>965.53356550394847</v>
      </c>
      <c r="BJ21" s="21">
        <f>(602/30*BT12)</f>
        <v>602</v>
      </c>
      <c r="BK21" s="21">
        <f>(0)</f>
        <v>0</v>
      </c>
      <c r="BU21" s="39" t="s">
        <v>0</v>
      </c>
      <c r="BV21" s="39" t="s">
        <v>0</v>
      </c>
      <c r="BW21" s="21" t="s">
        <v>0</v>
      </c>
      <c r="BX21" s="21">
        <f ca="1">(AT1+AV1+AX1+AZ1+BB1+BO16+BG22+BJ22+BC27+BE27+BC21+BE21+BG21+BY6+BH5*CP21)</f>
        <v>6253.8658058776637</v>
      </c>
      <c r="BY21" s="21">
        <f t="shared" ca="1" si="63"/>
        <v>7732.97</v>
      </c>
      <c r="BZ21" s="21">
        <f t="shared" ca="1" si="64"/>
        <v>58.69</v>
      </c>
      <c r="CA21" s="21">
        <f>(BN4)</f>
        <v>5004</v>
      </c>
      <c r="CB21" s="21">
        <f t="shared" si="65"/>
        <v>37.980360000000005</v>
      </c>
      <c r="CC21" s="21">
        <f t="shared" ca="1" si="66"/>
        <v>2728.9700000000003</v>
      </c>
      <c r="CD21" s="21">
        <f t="shared" ca="1" si="67"/>
        <v>20.71</v>
      </c>
      <c r="CE21" s="21">
        <f t="shared" ca="1" si="68"/>
        <v>20.71</v>
      </c>
      <c r="CF21" s="21">
        <f ca="1">(BF1+BC22+BH21+BX6)</f>
        <v>200.2</v>
      </c>
      <c r="CG21" s="21">
        <f t="shared" ca="1" si="60"/>
        <v>7532.77</v>
      </c>
      <c r="CH21" s="21">
        <f ca="1">IF(CG21&gt;=BM4*7.5,BM4*7.5,CG21)</f>
        <v>7532.77</v>
      </c>
      <c r="CI21" s="21">
        <f ca="1">(ROUND(IF(CH21&gt;BM4*7.5,BM4*7.5*0.14,CH21*0.14),2))</f>
        <v>1054.5899999999999</v>
      </c>
      <c r="CJ21" s="21">
        <f ca="1">(ROUND(IF(CH21&gt;BM4*7.5,BM4*7.5*0.01,CH21*0.01),2))</f>
        <v>75.33</v>
      </c>
      <c r="CK21" s="21">
        <f ca="1">(BJ1+BD22+BX6+BH5)</f>
        <v>159.83870585108616</v>
      </c>
      <c r="CL21" s="21">
        <f t="shared" ca="1" si="69"/>
        <v>6443.211294148914</v>
      </c>
      <c r="CM21" s="21">
        <f ca="1">SUM($CL$18:CL21)</f>
        <v>30655.461260484142</v>
      </c>
      <c r="CN21" s="30">
        <f t="shared" ca="1" si="61"/>
        <v>0.15</v>
      </c>
      <c r="CO21" s="33">
        <f t="shared" ca="1" si="70"/>
        <v>0</v>
      </c>
      <c r="CP21" s="35">
        <f t="shared" ca="1" si="62"/>
        <v>0.15</v>
      </c>
      <c r="CQ21" s="21">
        <f t="shared" ca="1" si="79"/>
        <v>966.48</v>
      </c>
      <c r="CR21" s="21">
        <f>(CY6)</f>
        <v>638.01</v>
      </c>
      <c r="CS21" s="21">
        <f t="shared" ca="1" si="71"/>
        <v>328.47</v>
      </c>
      <c r="CT21" s="35">
        <f t="shared" si="19"/>
        <v>0.84240999999999999</v>
      </c>
      <c r="CU21" s="35">
        <f t="shared" ca="1" si="72"/>
        <v>0.71491000000000005</v>
      </c>
      <c r="CV21" s="35">
        <f t="shared" ca="1" si="73"/>
        <v>0.84240999999999999</v>
      </c>
      <c r="CW21" s="21">
        <f ca="1">(BY21)</f>
        <v>7732.97</v>
      </c>
      <c r="CX21" s="21">
        <f t="shared" ca="1" si="74"/>
        <v>1585.2588499999999</v>
      </c>
      <c r="CY21" s="21">
        <f t="shared" ca="1" si="75"/>
        <v>77.329700000000003</v>
      </c>
      <c r="CZ21" s="21">
        <f t="shared" ca="1" si="76"/>
        <v>-386.64850000000001</v>
      </c>
      <c r="DA21" s="21">
        <f t="shared" ca="1" si="77"/>
        <v>9008.9100500000004</v>
      </c>
      <c r="DC21" s="27">
        <v>19</v>
      </c>
      <c r="DD21" s="31">
        <v>9.5</v>
      </c>
      <c r="DE21" s="32">
        <v>0.21</v>
      </c>
      <c r="DF21" s="42"/>
    </row>
    <row r="22" spans="1:110" ht="39.950000000000003" customHeight="1" x14ac:dyDescent="0.25">
      <c r="A22" s="3">
        <f t="shared" ca="1" si="33"/>
        <v>0.2</v>
      </c>
      <c r="B22" s="5" t="s">
        <v>19</v>
      </c>
      <c r="C22" s="14">
        <v>0</v>
      </c>
      <c r="D22" s="15">
        <v>0</v>
      </c>
      <c r="E22" s="15">
        <v>0</v>
      </c>
      <c r="F22" s="14">
        <v>20</v>
      </c>
      <c r="G22" s="16" t="s">
        <v>1</v>
      </c>
      <c r="H22" s="14">
        <v>0</v>
      </c>
      <c r="I22" s="14">
        <v>0</v>
      </c>
      <c r="J22" s="14">
        <v>0</v>
      </c>
      <c r="K22" s="14">
        <v>0</v>
      </c>
      <c r="L22" s="14">
        <v>0</v>
      </c>
      <c r="M22" s="17" t="s">
        <v>1</v>
      </c>
      <c r="N22" s="17" t="s">
        <v>1</v>
      </c>
      <c r="O22" s="17" t="s">
        <v>1</v>
      </c>
      <c r="P22" s="18">
        <v>0</v>
      </c>
      <c r="Q22" s="6">
        <f ca="1">(BY22+CA10+CC10-CE22-CI22-CJ22-CS25-R22)</f>
        <v>6808.58248558987</v>
      </c>
      <c r="R22" s="6">
        <f ca="1">(AX20+AZ20+BB20+CD10)</f>
        <v>840</v>
      </c>
      <c r="S22" s="7">
        <f t="shared" ca="1" si="41"/>
        <v>7648.58248558987</v>
      </c>
      <c r="T22" s="47" t="s">
        <v>45</v>
      </c>
      <c r="U22" s="45">
        <f t="shared" ca="1" si="27"/>
        <v>38958.282439615898</v>
      </c>
      <c r="V22" s="45">
        <f ca="1">COUNTIF(W1,"Ocak")*(BY18-S15)
+COUNTIF(W1,"Şubat")*(BY19-S16)
+COUNTIF(W1,"Mart")*(BY20-S17)
+COUNTIF(W1,"Nisan")*(BY21-S18)
+COUNTIF(W1,"Mayıs")*(AV8-S19)
+COUNTIF(W1,"Haziran")*(AV9-S20)
+COUNTIF(W1,"Temmuz")*(AV10-S21)
+COUNTIF(W1,"Ağustos")*(BY22-S22)
+COUNTIF(W1,"Eylül")*(BY23-S23)
+COUNTIF(W1,"Ekim")*(BY24-S24)
+COUNTIF(W1,"Kasım")*(BY25-S25)
+COUNTIF(W1,"Aralık")*(BY26-S26)
+COUNTIF(W1,"Yıllık Toplam")*(BY27-S27)*-1
+COUNTIF(W1,"Yıllık Ortalama")*(BY28-S28)*-1</f>
        <v>-38958.282439615898</v>
      </c>
      <c r="W22" s="71"/>
      <c r="X22" s="65"/>
      <c r="Y22" s="47" t="s">
        <v>0</v>
      </c>
      <c r="Z22" s="51" t="s">
        <v>0</v>
      </c>
      <c r="AA22" s="54"/>
      <c r="AB22" s="55"/>
      <c r="AC22" s="57"/>
      <c r="AD22" s="56"/>
      <c r="AE22" s="39" t="s">
        <v>102</v>
      </c>
      <c r="AF22" s="21">
        <v>185.62</v>
      </c>
      <c r="AG22" s="21">
        <v>209.57</v>
      </c>
      <c r="AH22" s="21">
        <f ca="1">(BP10+BT1+BT2+BM16+AW4+AW5+AW6+AW7+BD23+BH24+AR16+AR17)</f>
        <v>0</v>
      </c>
      <c r="AI22" s="21">
        <f>(BQ10+BC25+BC26+BC27+AX4+AX5+AX6+AX7+BE23+BI24+AS16+AS17)</f>
        <v>0</v>
      </c>
      <c r="AJ22" s="21">
        <f ca="1">(BR10+BD25+BD26+BD27+AY4+AY5+AY6+AY7+BF23+BJ24+AT16+AT17)</f>
        <v>0</v>
      </c>
      <c r="AK22" s="21">
        <f>(BO13+BE25+BE26+BE27+AZ4+AZ5+AZ6+AZ7+BG23+BK24+AU16+AU17)</f>
        <v>0</v>
      </c>
      <c r="AL22" s="21">
        <f ca="1">(BP13+BF25+BF26+BF27+BA4+BA5+BA6+BA7+BH23+BL24+AV16+AV17)</f>
        <v>0</v>
      </c>
      <c r="AM22" s="21">
        <f>(BC18+BC19+BC20+BC21+BB4+BB5+BB6+BB7+BI23+BM24+AW16+AW17)</f>
        <v>0</v>
      </c>
      <c r="AN22" s="21">
        <f ca="1">(BD18+BD19+BD20+BD21+BC4+BC5+BC6+BC7+BJ23+BN24+AX16+AX17)</f>
        <v>0</v>
      </c>
      <c r="AO22" s="21">
        <f>(BE18+BE19+BE20+BE21+BD4+BD5+BD6+BD7+BK23+BO24+AY16+AY17)</f>
        <v>0</v>
      </c>
      <c r="AP22" s="21">
        <f ca="1">(BF18+BF19+BF20+BF21+BE4+BE5+BE6+BE7+BL23+BP24+AZ16+AZ17)</f>
        <v>0</v>
      </c>
      <c r="AQ22" s="21">
        <f>(BG18+BG19+BG20+BG21+BF4+BF5+BF6+BF7+BM23+BA25+BA26+BK22)</f>
        <v>0</v>
      </c>
      <c r="AR22" s="24">
        <f>COUNTIF($A$1,"1S-Makine ve Elektrik Teknisyenleri-Üniversite")*($AG$1)
+COUNTIF($A$1,"1S-Makine ve Elektrik Teknisyenleri-MYO")*($AG$2)
+COUNTIF($A$1,"1S-Makine ve Elektrik Teknisyenleri-Lise")*($AG$3)
+COUNTIF($A$1,"1S-Makine ve Elektrik Teknisyenleri-Ortaokul")*($AG$4)
+COUNTIF($A$1,"1S-Makine ve Elektrik Teknisyenleri-İlkokul")*($AG$5)
+COUNTIF($A$1,"1S-Yakıt Elemanı-Üniversite")*($AG$6)
+COUNTIF($A$1,"1S-Yakıt Elemanı-MYO")*($AG$7)
+COUNTIF($A$1,"1S-Yakıt Elemanı-Lise")*($AG$8)
+COUNTIF($A$1,"1S-Yakıt Elemanı-Ortaokul")*($AG$9)
+COUNTIF($A$1,"1S-Yakıt Elemanı-İlkokul")*($AG$10)
+COUNTIF($A$1,"1S-Tanker Şoförü-Üniversite")*($AG$11)
+COUNTIF($A$1,"1S-Tanker Şoförü-MYO")*($AG$12)
+COUNTIF($A$1,"1S-Tanker Şoförü-Lise")*($AG$13)
+COUNTIF($A$1,"1S-Tanker Şoförü-Ortaokul")*($AG$14)
+COUNTIF($A$1,"1S-Tanker Şoförü-İlkokul")*($AG$15)
+COUNTIF($A$1,"1S-Vinç Operatörü-Üniversite")*($AG$16)
+COUNTIF($A$1,"1S-Vinç Operatörü-MYO")*($AG$17)
+COUNTIF($A$1,"1S-Vinç Operatörü-Lise")*($AG$18)
+COUNTIF($A$1,"1S-Vinç Operatörü-Ortaokul")*($AG$19)
+COUNTIF($A$1,"1S-Vinç Operatörü-İlkokul")*($AG$20)
+COUNTIF($A$1,"1S-Rampa Görevlisi-Üniversite")*($AG$21)
+COUNTIF($A$1,"1S-Rampa Görevlisi-MYO")*($AG$22)
+COUNTIF($A$1,"1S-Rampa Görevlisi-Lise")*($AG$23)
+COUNTIF($A$1,"1S-Rampa Görevlisi-Ortaokul")*($AG$24)
+COUNTIF($A$1,"1S-Rampa Görevlisi-İlkokul")*($AG$25)
+COUNTIF($A$1,"1S-Yakıt Hizmetlisi-Üniversite")*($AG$26)
+COUNTIF($A$1,"1S-Yakıt Hizmetlisi-MYO")*($AG$27)
+COUNTIF($A$1,"1S-Yakıt Hizmetlisi-Lise")*($AG$28)
+COUNTIF($A$1,"1S-Yakıt Hizmetlisi-Ortaokul")*($AG$29)
+COUNTIF($A$1,"1S-Yakıt Hizmetlisi-İlkokul")*($AG$30)
+COUNTIF($A$1,"2S-Rampa Görevlisi-Üniversite")*($AG$31)
+COUNTIF($A$1,"2S-Rampa Görevlisi-MYO")*($AG$32)
+COUNTIF($A$1,"2S-Rampa Görevlisi-Lise")*($AG$33)
+COUNTIF($A$1,"2S-Rampa Görevlisi-Ortaokul")*($AG$34)
+COUNTIF($A$1,"2S-Rampa Görevlisi-İlkokul")*($AG$35)
+COUNTIF($A$1,"2S-Hizmetliler-Üniversite")*($AG$36)
+COUNTIF($A$1,"2S-Hizmetliler-MYO")*($AG$37)
+COUNTIF($A$1,"2S-Hizmetliler-Lise")*($AG$38)
+COUNTIF($A$1,"2S-Hizmetliler-Ortaokul")*($AG$39)
+COUNTIF($A$1,"2S-Hizmetliler-İlkokul")*($AG$40)
+COUNTIF($A$1,"2S-Çaycı-Üniversite")*($AG$41)
+COUNTIF($A$1,"2S-Çaycı-MYO")*($AG$42)
+COUNTIF($A$1,"2S-Çaycı-Lise")*($AG$43)
+COUNTIF($A$1,"2S-Çaycı-Ortaokul")*($AG$44)
+COUNTIF($A$1,"2S-Çaycı-İlkokul")*($AG$45)
+COUNTIF($A$1,"2S-Gişe Sorumlusu-Üniversite")*($AG$46)
+COUNTIF($A$1,"2S-Gişe Sorumlusu-MYO")*($AG$47)
+COUNTIF($A$1,"2S-Gişe Sorumlusu-Lise")*($AG$48)
+COUNTIF($A$1,"2S-Gişe Sorumlusu-Ortaokul")*($AG$49)
+COUNTIF($A$1,"2S-Gişe Sorumlusu-İlkokul")*($AG$50)
+COUNTIF($A$1,"2S-Gişe Görevlisi-Üniversite")*($AG$51)
+COUNTIF($A$1,"2S-Gişe Görevlisi-MYO")*($AG$52)
+COUNTIF($A$1,"2S-Gişe Görevlisi-Lise")*($AG$53)
+COUNTIF($A$1,"2S-Gişe Görevlisi-Ortaokul")*($AG$54)
+COUNTIF($A$1,"2S-Gişe Görevlisi-İlkokul")*($AG$55)
+COUNTIF($A$1,"2S-Terminal Görevlisi-Üniversite")*($AG$56)
+COUNTIF($A$1,"2S-Terminal Görevlisi-MYO")*($AG$57)
+COUNTIF($A$1,"2S-Terminal Görevlisi-Lise")*($AG$58)
+COUNTIF($A$1,"2S-Terminal Görevlisi-Ortaokul")*($AG$59)
+COUNTIF($A$1,"2S-Terminal Görevlisi-İlkokul")*($AG$60)
+COUNTIF($A$1,"2S-İskele Görevlisi-Üniversite")*($AG$61)
+COUNTIF($A$1,"2S-İskele Görevlisi-MYO")*($AG$62)
+COUNTIF($A$1,"2S-İskele Görevlisi-Lise")*($AG$63)
+COUNTIF($A$1,"2S-İskele Görevlisi-Ortaokul")*($AG$64)
+COUNTIF($A$1,"2S-İskele Görevlisi-İlkokul")*($AG$65)
+COUNTIF($A$1,"Atölye-Formen")*($AG$66)
+COUNTIF($A$1,"Atölye-Teknisyen")*($AG$67)
+COUNTIF($A$1,"Atölye-Ustabaşı")*($AG$68)
+COUNTIF($A$1,"Atölye-Usta")*($AG$69)
+COUNTIF($A$1,"Atölye-İşçi")*($AG$70)</f>
        <v>191.07</v>
      </c>
      <c r="AS22" s="25">
        <f ca="1">(AO19*AJ19)</f>
        <v>7789.0475110538264</v>
      </c>
      <c r="AT22" s="21">
        <f>(AR22*AJ19)</f>
        <v>5923.17</v>
      </c>
      <c r="AU22" s="21">
        <f ca="1">(AV22/BJ8)</f>
        <v>0</v>
      </c>
      <c r="AV22" s="21">
        <f>(7.84*C24)</f>
        <v>0</v>
      </c>
      <c r="AW22" s="21">
        <f ca="1">(AX22/BJ8)</f>
        <v>0</v>
      </c>
      <c r="AX22" s="21">
        <f>(AR22/7.5*1.5*D24)</f>
        <v>0</v>
      </c>
      <c r="AY22" s="21">
        <f ca="1">(AZ22/BJ8)</f>
        <v>0</v>
      </c>
      <c r="AZ22" s="21">
        <f>(AR22/7.5*2*E24)</f>
        <v>0</v>
      </c>
      <c r="BA22" s="21">
        <f ca="1">(AI24)</f>
        <v>1324.27</v>
      </c>
      <c r="BB22" s="21">
        <f>(42*F24)</f>
        <v>840</v>
      </c>
      <c r="BC22" s="21">
        <f>(0)</f>
        <v>0</v>
      </c>
      <c r="BD22" s="21">
        <f>(0)</f>
        <v>0</v>
      </c>
      <c r="BE22" s="26">
        <v>0</v>
      </c>
      <c r="BF22" s="21">
        <f ca="1">(BG22/CU21)</f>
        <v>0</v>
      </c>
      <c r="BG22" s="21">
        <f>(AR1*BE22)</f>
        <v>0</v>
      </c>
      <c r="BH22" s="26">
        <v>30</v>
      </c>
      <c r="BI22" s="21">
        <f ca="1">(BJ22/CU21)</f>
        <v>487.76769103803269</v>
      </c>
      <c r="BJ22" s="21">
        <f>COUNTIF($A$1,"1S-Makine ve Elektrik Teknisyenleri-Üniversite")*(566.31/30*BH22)
+COUNTIF($A$1,"1S-Makine ve Elektrik Teknisyenleri-MYO")*(566.31/30*BH22)
+COUNTIF($A$1,"1S-Makine ve Elektrik Teknisyenleri-Lise")*(566.31/30*BH22)
+COUNTIF($A$1,"1S-Makine ve Elektrik Teknisyenleri-Ortaokul")*(566.31/30*BH22)
+COUNTIF($A$1,"1S-Makine ve Elektrik Teknisyenleri-İlkokul")*(566.31/30*BH22)
+COUNTIF($A$1,"1S-Yakıt Elemanı-Üniversite")*(566.31/30*BH22)
+COUNTIF($A$1,"1S-Yakıt Elemanı-MYO")*(566.31/30*BH22)
+COUNTIF($A$1,"1S-Yakıt Elemanı-Lise")*(566.31/30*BH22)
+COUNTIF($A$1,"1S-Yakıt Elemanı-Ortaokul")*(566.31/30*BH22)
+COUNTIF($A$1,"1S-Yakıt Elemanı-İlkokul")*(566.31/30*BH22)
+COUNTIF($A$1,"1S-Tanker Şoförü-Üniversite")*(566.31/30*BH22)
+COUNTIF($A$1,"1S-Tanker Şoförü-MYO")*(566.31/30*BH22)
+COUNTIF($A$1,"1S-Tanker Şoförü-Lise")*(566.31/30*BH22)
+COUNTIF($A$1,"1S-Tanker Şoförü-Ortaokul")*(566.31/30*BH22)
+COUNTIF($A$1,"1S-Tanker Şoförü-İlkokul")*(566.31/30*BH22)
+COUNTIF($A$1,"1S-Vinç Operatörü-Üniversite")*(566.31/30*BH22)
+COUNTIF($A$1,"1S-Vinç Operatörü-MYO")*(566.31/30*BH22)
+COUNTIF($A$1,"1S-Vinç Operatörü-Lise")*(566.31/30*BH22)
+COUNTIF($A$1,"1S-Vinç Operatörü-Ortaokul")*(566.31/30*BH22)
+COUNTIF($A$1,"1S-Vinç Operatörü-İlkokul")*(566.31/30*BH22)
+COUNTIF($A$1,"1S-Rampa Görevlisi-Üniversite")*(566.31/30*BH22)
+COUNTIF($A$1,"1S-Rampa Görevlisi-MYO")*(566.31/30*BH22)
+COUNTIF($A$1,"1S-Rampa Görevlisi-Lise")*(566.31/30*BH22)
+COUNTIF($A$1,"1S-Rampa Görevlisi-Ortaokul")*(566.31/30*BH22)
+COUNTIF($A$1,"1S-Rampa Görevlisi-İlkokul")*(566.31/30*BH22)
+COUNTIF($A$1,"1S-Yakıt Hizmetlisi-Üniversite")*(566.31/30*BH22)
+COUNTIF($A$1,"1S-Yakıt Hizmetlisi-MYO")*(566.31/30*BH22)
+COUNTIF($A$1,"1S-Yakıt Hizmetlisi-Lise")*(566.31/30*BH22)
+COUNTIF($A$1,"1S-Yakıt Hizmetlisi-Ortaokul")*(566.31/30*BH22)
+COUNTIF($A$1,"1S-Yakıt Hizmetlisi-İlkokul")*(566.31/30*BH22)
+COUNTIF($A$1,"2S-Rampa Görevlisi-Üniversite")*(348.71/30*BH22)
+COUNTIF($A$1,"2S-Rampa Görevlisi-MYO")*(348.71/30*BH22)
+COUNTIF($A$1,"2S-Rampa Görevlisi-Lise")*(348.71/30*BH22)
+COUNTIF($A$1,"2S-Rampa Görevlisi-Ortaokul")*(348.71/30*BH22)
+COUNTIF($A$1,"2S-Rampa Görevlisi-İlkokul")*(348.71/30*BH22)
+COUNTIF($A$1,"2S-Hizmetliler-Üniversite")*(348.71/30*BH22)
+COUNTIF($A$1,"2S-Hizmetliler-MYO")*(348.71/30*BH22)
+COUNTIF($A$1,"2S-Hizmetliler-Lise")*(348.71/30*BH22)
+COUNTIF($A$1,"2S-Hizmetliler-Ortaokul")*(348.71/30*BH22)
+COUNTIF($A$1,"2S-Hizmetliler-İlkokul")*(348.71/30*BH22)
+COUNTIF($A$1,"2S-Çaycı-Üniversite")*(348.71/30*BH22)
+COUNTIF($A$1,"2S-Çaycı-MYO")*(348.71/30*BH22)
+COUNTIF($A$1,"2S-Çaycı-Lise")*(348.71/30*BH22)
+COUNTIF($A$1,"2S-Çaycı-Ortaokul")*(348.71/30*BH22)
+COUNTIF($A$1,"2S-Çaycı-İlkokul")*(348.71/30*BH22)
+COUNTIF($A$1,"2S-Gişe Sorumlusu-Üniversite")*(348.71/30*BH22)
+COUNTIF($A$1,"2S-Gişe Sorumlusu-MYO")*(348.71/30*BH22)
+COUNTIF($A$1,"2S-Gişe Sorumlusu-Lise")*(348.71/30*BH22)
+COUNTIF($A$1,"2S-Gişe Sorumlusu-Ortaokul")*(348.71/30*BH22)
+COUNTIF($A$1,"2S-Gişe Sorumlusu-İlkokul")*(348.71/30*BH22)
+COUNTIF($A$1,"2S-Gişe Görevlisi-Üniversite")*(348.71/30*BH22)
+COUNTIF($A$1,"2S-Gişe Görevlisi-MYO")*(348.71/30*BH22)
+COUNTIF($A$1,"2S-Gişe Görevlisi-Lise")*(348.71/30*BH22)
+COUNTIF($A$1,"2S-Gişe Görevlisi-Ortaokul")*(348.71/30*BH22)
+COUNTIF($A$1,"2S-Gişe Görevlisi-İlkokul")*(348.71/30*BH22)
+COUNTIF($A$1,"2S-Terminal Görevlisi-Üniversite")*(348.71/30*BH22)
+COUNTIF($A$1,"2S-Terminal Görevlisi-MYO")*(348.71/30*BH22)
+COUNTIF($A$1,"2S-Terminal Görevlisi-Lise")*(348.71/30*BH22)
+COUNTIF($A$1,"2S-Terminal Görevlisi-Ortaokul")*(348.71/30*BH22)
+COUNTIF($A$1,"2S-Terminal Görevlisi-İlkokul")*(348.71/30*BH22)
+COUNTIF($A$1,"2S-İskele Görevlisi-Üniversite")*(348.71/30*BH22)
+COUNTIF($A$1,"2S-İskele Görevlisi-MYO")*(348.71/30*BH22)
+COUNTIF($A$1,"2S-İskele Görevlisi-Lise")*(348.71/30*BH22)
+COUNTIF($A$1,"2S-İskele Görevlisi-Ortaokul")*(348.71/30*BH22)
+COUNTIF($A$1,"2S-İskele Görevlisi-İlkokul")*(348.71/30*BH22)
+COUNTIF($A$1,"Atölye-Formen")*(348.71/30*BH22)
+COUNTIF($A$1,"Atölye-Teknisyen")*(348.71/30*BH22)
+COUNTIF($A$1,"Atölye-Ustabaşı")*(348.71/30*BH22)
+COUNTIF($A$1,"Atölye-Usta")*(348.71/30*BH22)
+COUNTIF($A$1,"Atölye-İşçi")*(348.71/30*BH22)</f>
        <v>348.71</v>
      </c>
      <c r="BK22" s="21">
        <f>COUNTIF($A$1,"2S-Gişe Sorumlusu-Üniversite")*(5.4*L26)
+COUNTIF($A$1,"2S-Gişe Sorumlusu-MYO")*(5.4*L26)
+COUNTIF($A$1,"2S-Gişe Sorumlusu-Lise")*(5.4*L26)
+COUNTIF($A$1,"2S-Gişe Sorumlusu-Ortaokul")*(5.4*L26)
+COUNTIF($A$1,"2S-Gişe Sorumlusu-İlkokul")*(5.4*L26)
+COUNTIF($A$1,"2S-Gişe Görevlisi-Üniversite")*(5.4*L26)
+COUNTIF($A$1,"2S-Gişe Görevlisi-MYO")*(5.4*L26)
+COUNTIF($A$1,"2S-Gişe Görevlisi-Lise")*(5.4*L26)
+COUNTIF($A$1,"2S-Gişe Görevlisi-Ortaokul")*(5.4*L26)
+COUNTIF($A$1,"2S-Gişe Görevlisi-İlkokul")*(5.4*L26)</f>
        <v>0</v>
      </c>
      <c r="BL22" s="21">
        <f ca="1">(AZ17)</f>
        <v>0</v>
      </c>
      <c r="BU22" s="39" t="s">
        <v>0</v>
      </c>
      <c r="BV22" s="39" t="s">
        <v>0</v>
      </c>
      <c r="BW22" s="21" t="s">
        <v>0</v>
      </c>
      <c r="BX22" s="21">
        <f ca="1">(AT20+AV20+AX20+AZ20+BB20+AI7+AO7+AR7+AX7+AZ7+BB7+BD7+BF7+BY10+CB10*CP25)</f>
        <v>7856.817502882026</v>
      </c>
      <c r="BY22" s="21">
        <f ca="1">(ROUND((BX22+CD22+CI22+CJ22+CS25),2))</f>
        <v>9940.2000000000007</v>
      </c>
      <c r="BZ22" s="21">
        <f ca="1">(ROUND(BY22*0.00759,2))</f>
        <v>75.45</v>
      </c>
      <c r="CA22" s="21">
        <f>(CH10)</f>
        <v>6471</v>
      </c>
      <c r="CB22" s="21">
        <f>(CA22*0.00759)</f>
        <v>49.114890000000003</v>
      </c>
      <c r="CC22" s="21">
        <f ca="1">(BY22-CA22)</f>
        <v>3469.2000000000007</v>
      </c>
      <c r="CD22" s="21">
        <f ca="1">(ROUND(CC22*0.00759,2))</f>
        <v>26.33</v>
      </c>
      <c r="CE22" s="21">
        <f ca="1">(CD22)</f>
        <v>26.33</v>
      </c>
      <c r="CF22" s="21">
        <f ca="1">(AK9+AK7+BL19+BX10)</f>
        <v>258.8</v>
      </c>
      <c r="CG22" s="21">
        <f ca="1">(BY22-CF22)</f>
        <v>9681.4000000000015</v>
      </c>
      <c r="CH22" s="21">
        <f ca="1">IF(CG22&gt;=CG10*7.5,CG10*7.5,CG22)</f>
        <v>9681.4000000000015</v>
      </c>
      <c r="CI22" s="21">
        <f ca="1">(ROUND(IF(CH22&gt;CG10*7.5,CG10*7.5*0.14,CH22*0.14),2))</f>
        <v>1355.4</v>
      </c>
      <c r="CJ22" s="21">
        <f ca="1">(ROUND(IF(CH22&gt;CG10*7.5,CG10*7.5*0.01,CH22*0.01),2))</f>
        <v>96.81</v>
      </c>
      <c r="CK22" s="21">
        <f ca="1">(BJ2+AL4+BX7+BH6)</f>
        <v>168.86751527686621</v>
      </c>
      <c r="CL22" s="21">
        <f ca="1">(AV8-BF8-BG8-CK22)</f>
        <v>7011.4124847231333</v>
      </c>
      <c r="CM22" s="21">
        <f ca="1">SUM($CL$18:CL22)</f>
        <v>37666.873745207275</v>
      </c>
      <c r="CN22" s="30">
        <f t="shared" ca="1" si="61"/>
        <v>0.2</v>
      </c>
      <c r="CO22" s="33">
        <f t="shared" ca="1" si="70"/>
        <v>1</v>
      </c>
      <c r="CP22" s="35">
        <f t="shared" ca="1" si="62"/>
        <v>0.1904117840560271</v>
      </c>
      <c r="CQ22" s="21">
        <f t="shared" ca="1" si="79"/>
        <v>1335.06</v>
      </c>
      <c r="CR22" s="21">
        <f>(AP8)</f>
        <v>638.01</v>
      </c>
      <c r="CS22" s="21">
        <f t="shared" ca="1" si="71"/>
        <v>697.05</v>
      </c>
      <c r="CT22" s="35">
        <f t="shared" si="19"/>
        <v>0.84240999999999999</v>
      </c>
      <c r="CU22" s="35">
        <f t="shared" ca="1" si="72"/>
        <v>0.68055998355237701</v>
      </c>
      <c r="CV22" s="35">
        <f t="shared" ca="1" si="73"/>
        <v>0.80199821594397291</v>
      </c>
      <c r="CW22" s="21">
        <f ca="1">(AV8)</f>
        <v>8412.06</v>
      </c>
      <c r="CX22" s="21">
        <f t="shared" ca="1" si="74"/>
        <v>1724.4722999999999</v>
      </c>
      <c r="CY22" s="21">
        <f t="shared" ca="1" si="75"/>
        <v>84.120599999999996</v>
      </c>
      <c r="CZ22" s="21">
        <f t="shared" ca="1" si="76"/>
        <v>-420.60300000000001</v>
      </c>
      <c r="DA22" s="21">
        <f t="shared" ca="1" si="77"/>
        <v>9800.0499</v>
      </c>
      <c r="DC22" s="27">
        <v>20</v>
      </c>
      <c r="DD22" s="31">
        <v>10</v>
      </c>
      <c r="DE22" s="32">
        <v>0.22</v>
      </c>
      <c r="DF22" s="42"/>
    </row>
    <row r="23" spans="1:110" ht="39.950000000000003" customHeight="1" x14ac:dyDescent="0.25">
      <c r="A23" s="3">
        <f t="shared" ca="1" si="33"/>
        <v>0.2575535781373674</v>
      </c>
      <c r="B23" s="5" t="s">
        <v>20</v>
      </c>
      <c r="C23" s="14">
        <v>0</v>
      </c>
      <c r="D23" s="15">
        <v>0</v>
      </c>
      <c r="E23" s="15">
        <v>0</v>
      </c>
      <c r="F23" s="14">
        <v>20</v>
      </c>
      <c r="G23" s="16" t="s">
        <v>1</v>
      </c>
      <c r="H23" s="14">
        <v>0</v>
      </c>
      <c r="I23" s="14">
        <v>0</v>
      </c>
      <c r="J23" s="14">
        <v>0</v>
      </c>
      <c r="K23" s="14">
        <v>0</v>
      </c>
      <c r="L23" s="14">
        <v>0</v>
      </c>
      <c r="M23" s="17" t="s">
        <v>1</v>
      </c>
      <c r="N23" s="17" t="s">
        <v>1</v>
      </c>
      <c r="O23" s="17" t="s">
        <v>1</v>
      </c>
      <c r="P23" s="18">
        <v>0</v>
      </c>
      <c r="Q23" s="6">
        <f ca="1">(BY23+CA11+CC11-CE23-CI23-CJ23-CS26-R23)</f>
        <v>12352.477124590021</v>
      </c>
      <c r="R23" s="6">
        <f ca="1">(AX21+AZ21+BB21+CD11)</f>
        <v>840</v>
      </c>
      <c r="S23" s="7">
        <f t="shared" ca="1" si="41"/>
        <v>13192.477124590021</v>
      </c>
      <c r="T23" s="44" t="s">
        <v>0</v>
      </c>
      <c r="U23" s="45" t="s">
        <v>0</v>
      </c>
      <c r="V23" s="45" t="s">
        <v>0</v>
      </c>
      <c r="W23" s="71"/>
      <c r="X23" s="65"/>
      <c r="Y23" s="47" t="s">
        <v>0</v>
      </c>
      <c r="Z23" s="51" t="s">
        <v>0</v>
      </c>
      <c r="AA23" s="54"/>
      <c r="AB23" s="55"/>
      <c r="AC23" s="57"/>
      <c r="AD23" s="56"/>
      <c r="AE23" s="39" t="s">
        <v>103</v>
      </c>
      <c r="AF23" s="21">
        <v>182.45</v>
      </c>
      <c r="AG23" s="21">
        <v>208.57</v>
      </c>
      <c r="AH23" s="21">
        <f t="shared" ref="AH23:AI23" ca="1" si="80">(AH22/12)</f>
        <v>0</v>
      </c>
      <c r="AI23" s="21">
        <f t="shared" si="80"/>
        <v>0</v>
      </c>
      <c r="AJ23" s="21">
        <f t="shared" ref="AJ23:AK23" ca="1" si="81">(AJ22/12)</f>
        <v>0</v>
      </c>
      <c r="AK23" s="21">
        <f t="shared" si="81"/>
        <v>0</v>
      </c>
      <c r="AL23" s="21">
        <f t="shared" ref="AL23:AM23" ca="1" si="82">(AL22/12)</f>
        <v>0</v>
      </c>
      <c r="AM23" s="21">
        <f t="shared" si="82"/>
        <v>0</v>
      </c>
      <c r="AN23" s="21">
        <f t="shared" ref="AN23:AO23" ca="1" si="83">(AN22/12)</f>
        <v>0</v>
      </c>
      <c r="AO23" s="21">
        <f t="shared" si="83"/>
        <v>0</v>
      </c>
      <c r="AP23" s="21">
        <f t="shared" ref="AP23:AQ23" ca="1" si="84">(AP22/12)</f>
        <v>0</v>
      </c>
      <c r="AQ23" s="21">
        <f t="shared" si="84"/>
        <v>0</v>
      </c>
      <c r="AR23" s="21">
        <f>(0)</f>
        <v>0</v>
      </c>
      <c r="AS23" s="21">
        <f>(0)</f>
        <v>0</v>
      </c>
      <c r="AT23" s="26">
        <v>30</v>
      </c>
      <c r="AU23" s="21">
        <f ca="1">(AV23/CU26)</f>
        <v>9193.5796525335263</v>
      </c>
      <c r="AV23" s="21">
        <f>(AR21*AT23)</f>
        <v>5732.0999999999995</v>
      </c>
      <c r="AW23" s="26">
        <v>30</v>
      </c>
      <c r="AX23" s="21">
        <f ca="1">(AY23/CU26)</f>
        <v>721.74435959597474</v>
      </c>
      <c r="AY23" s="21">
        <f>COUNTIF($A$1,"1S-Makine ve Elektrik Teknisyenleri-Üniversite")*(566.31/30*AW23)
+COUNTIF($A$1,"1S-Makine ve Elektrik Teknisyenleri-MYO")*(566.31/30*AW23)
+COUNTIF($A$1,"1S-Makine ve Elektrik Teknisyenleri-Lise")*(566.31/30*AW23)
+COUNTIF($A$1,"1S-Makine ve Elektrik Teknisyenleri-Ortaokul")*(566.31/30*AW23)
+COUNTIF($A$1,"1S-Makine ve Elektrik Teknisyenleri-İlkokul")*(566.31/30*AW23)
+COUNTIF($A$1,"1S-Yakıt Elemanı-Üniversite")*(566.31/30*AW23)
+COUNTIF($A$1,"1S-Yakıt Elemanı-MYO")*(566.31/30*AW23)
+COUNTIF($A$1,"1S-Yakıt Elemanı-Lise")*(566.31/30*AW23)
+COUNTIF($A$1,"1S-Yakıt Elemanı-Ortaokul")*(566.31/30*AW23)
+COUNTIF($A$1,"1S-Yakıt Elemanı-İlkokul")*(566.31/30*AW23)
+COUNTIF($A$1,"1S-Tanker Şoförü-Üniversite")*(566.31/30*AW23)
+COUNTIF($A$1,"1S-Tanker Şoförü-MYO")*(566.31/30*AW23)
+COUNTIF($A$1,"1S-Tanker Şoförü-Lise")*(566.31/30*AW23)
+COUNTIF($A$1,"1S-Tanker Şoförü-Ortaokul")*(566.31/30*AW23)
+COUNTIF($A$1,"1S-Tanker Şoförü-İlkokul")*(566.31/30*AW23)
+COUNTIF($A$1,"1S-Vinç Operatörü-Üniversite")*(566.31/30*AW23)
+COUNTIF($A$1,"1S-Vinç Operatörü-MYO")*(566.31/30*AW23)
+COUNTIF($A$1,"1S-Vinç Operatörü-Lise")*(566.31/30*AW23)
+COUNTIF($A$1,"1S-Vinç Operatörü-Ortaokul")*(566.31/30*AW23)
+COUNTIF($A$1,"1S-Vinç Operatörü-İlkokul")*(566.31/30*AW23)
+COUNTIF($A$1,"1S-Rampa Görevlisi-Üniversite")*(566.31/30*AW23)
+COUNTIF($A$1,"1S-Rampa Görevlisi-MYO")*(566.31/30*AW23)
+COUNTIF($A$1,"1S-Rampa Görevlisi-Lise")*(566.31/30*AW23)
+COUNTIF($A$1,"1S-Rampa Görevlisi-Ortaokul")*(566.31/30*AW23)
+COUNTIF($A$1,"1S-Rampa Görevlisi-İlkokul")*(566.31/30*AW23)
+COUNTIF($A$1,"1S-Yakıt Hizmetlisi-Üniversite")*(566.31/30*AW23)
+COUNTIF($A$1,"1S-Yakıt Hizmetlisi-MYO")*(566.31/30*AW23)
+COUNTIF($A$1,"1S-Yakıt Hizmetlisi-Lise")*(566.31/30*AW23)
+COUNTIF($A$1,"1S-Yakıt Hizmetlisi-Ortaokul")*(566.31/30*AW23)
+COUNTIF($A$1,"1S-Yakıt Hizmetlisi-İlkokul")*(566.31/30*AW23)
+COUNTIF($A$1,"2S-Rampa Görevlisi-Üniversite")*(450/30*AW23)
+COUNTIF($A$1,"2S-Rampa Görevlisi-MYO")*(450/30*AW23)
+COUNTIF($A$1,"2S-Rampa Görevlisi-Lise")*(450/30*AW23)
+COUNTIF($A$1,"2S-Rampa Görevlisi-Ortaokul")*(450/30*AW23)
+COUNTIF($A$1,"2S-Rampa Görevlisi-İlkokul")*(450/30*AW23)
+COUNTIF($A$1,"2S-Hizmetliler-Üniversite")*(450/30*AW23)
+COUNTIF($A$1,"2S-Hizmetliler-MYO")*(450/30*AW23)
+COUNTIF($A$1,"2S-Hizmetliler-Lise")*(450/30*AW23)
+COUNTIF($A$1,"2S-Hizmetliler-Ortaokul")*(450/30*AW23)
+COUNTIF($A$1,"2S-Hizmetliler-İlkokul")*(450/30*AW23)
+COUNTIF($A$1,"2S-Çaycı-Üniversite")*(450/30*AW23)
+COUNTIF($A$1,"2S-Çaycı-MYO")*(450/30*AW23)
+COUNTIF($A$1,"2S-Çaycı-Lise")*(450/30*AW23)
+COUNTIF($A$1,"2S-Çaycı-Ortaokul")*(450/30*AW23)
+COUNTIF($A$1,"2S-Çaycı-İlkokul")*(450/30*AW23)
+COUNTIF($A$1,"2S-Gişe Sorumlusu-Üniversite")*(450/30*AW23)
+COUNTIF($A$1,"2S-Gişe Sorumlusu-MYO")*(450/30*AW23)
+COUNTIF($A$1,"2S-Gişe Sorumlusu-Lise")*(450/30*AW23)
+COUNTIF($A$1,"2S-Gişe Sorumlusu-Ortaokul")*(450/30*AW23)
+COUNTIF($A$1,"2S-Gişe Sorumlusu-İlkokul")*(450/30*AW23)
+COUNTIF($A$1,"2S-Gişe Görevlisi-Üniversite")*(450/30*AW23)
+COUNTIF($A$1,"2S-Gişe Görevlisi-MYO")*(450/30*AW23)
+COUNTIF($A$1,"2S-Gişe Görevlisi-Lise")*(450/30*AW23)
+COUNTIF($A$1,"2S-Gişe Görevlisi-Ortaokul")*(450/30*AW23)
+COUNTIF($A$1,"2S-Gişe Görevlisi-İlkokul")*(450/30*AW23)
+COUNTIF($A$1,"2S-Terminal Görevlisi-Üniversite")*(450/30*AW23)
+COUNTIF($A$1,"2S-Terminal Görevlisi-MYO")*(450/30*AW23)
+COUNTIF($A$1,"2S-Terminal Görevlisi-Lise")*(450/30*AW23)
+COUNTIF($A$1,"2S-Terminal Görevlisi-Ortaokul")*(450/30*AW23)
+COUNTIF($A$1,"2S-Terminal Görevlisi-İlkokul")*(450/30*AW23)
+COUNTIF($A$1,"2S-İskele Görevlisi-Üniversite")*(450/30*AW23)
+COUNTIF($A$1,"2S-İskele Görevlisi-MYO")*(450/30*AW23)
+COUNTIF($A$1,"2S-İskele Görevlisi-Lise")*(450/30*AW23)
+COUNTIF($A$1,"2S-İskele Görevlisi-Ortaokul")*(450/30*AW23)
+COUNTIF($A$1,"2S-İskele Görevlisi-İlkokul")*(450/30*AW23)
+COUNTIF($A$1,"Atölye-Formen")*(450/30*AW23)
+COUNTIF($A$1,"Atölye-Teknisyen")*(450/30*AW23)
+COUNTIF($A$1,"Atölye-Ustabaşı")*(450/30*AW23)
+COUNTIF($A$1,"Atölye-Usta")*(450/30*AW23)
+COUNTIF($A$1,"Atölye-İşçi")*(450/30*AW23)</f>
        <v>450</v>
      </c>
      <c r="AZ23" s="24">
        <f>COUNTIF(G23,"Yok")*(0)
+COUNTIF(G23,"Bakırköy")*(115.36/30*H23)
+COUNTIF(G23,"Bandırma")*(115.36/30*H23)
+COUNTIF(G23,"Bostancı")*(520.17/30*H23)
+COUNTIF(G23,"Bursa")*(520.17/30*H23)
+COUNTIF(G23,"Eskihisar")*(635.52/30*H23)
+COUNTIF(G23,"Harem")*(520.17/30*H23)
+COUNTIF(G23,"Kabataş")*(520.17/30*H23)
+COUNTIF(G23,"Kadıköy")*(520.17/30*H23)
+COUNTIF(G23,"Pendik")*(520.17/30*H23)
+COUNTIF(G23,"Sirkeci")*(520.17/30*H23)
+COUNTIF(G23,"Topçular")*(635.52/30*H23)
+COUNTIF(G23,"Yalova")*(635.52/30*H23)
+COUNTIF(G23,"Yenikapı")*(635.52/30*H23)</f>
        <v>0</v>
      </c>
      <c r="BA23" s="24">
        <f>COUNTIF(G23,"Yok")*(0)
+COUNTIF(G23,"Bakırköy")*(98.58/30*H23)
+COUNTIF(G23,"Bandırma")*(98.58/30*H23)
+COUNTIF(G23,"Beşiktaş")*(98.58/30*H23)
+COUNTIF(G23,"Bostancı")*(98.58/30*H23)
+COUNTIF(G23,"Bursa")*(98.58/30*H23)
+COUNTIF(G23,"Eskihisar")*(98.58/30*H23)
+COUNTIF(G23,"Harem")*(98.58/30*H23)
+COUNTIF(G23,"Kabataş")*(98.58/30*H23)
+COUNTIF(G23,"Kadıköy")*(98.58/30*H23)
+COUNTIF(G23,"Pendik")*(98.58/30*H23)
+COUNTIF(G23,"Sirkeci")*(98.58/30*H23)
+COUNTIF(G23,"Topçular")*(98.58/30*H23)
+COUNTIF(G23,"Yalova")*(98.58/30*H23)
+COUNTIF(G23,"Yenikapı")*(98.58/30*H23)</f>
        <v>0</v>
      </c>
      <c r="BB23" s="24">
        <f>COUNTIF(G23,"Yok")*(0)
+COUNTIF(G23,"Bakırköy")*(264.27/30*H23)
+COUNTIF(G23,"Bandırma")*(125.85/30*H23)
+COUNTIF(G23,"Beşiktaş")*(264.27/30*H23)
+COUNTIF(G23,"Bostancı")*(264.27/30*H23)
+COUNTIF(G23,"Bursa")*(402.7/30*H23)
+COUNTIF(G23,"Eskihisar")*(402.7/30*H23)
+COUNTIF(G23,"Harem")*(402.7/30*H23)
+COUNTIF(G23,"Kabataş")*(264.27/30*H23)
+COUNTIF(G23,"Kadıköy")*(264.27/30*H23)
+COUNTIF(G23,"Maltepe")*(125.85/30*H23)
+COUNTIF(G23,"Pendik")*(264.27/30*H23)
+COUNTIF(G23,"Sirkeci")*(402.7/30*H23)
+COUNTIF(G23,"Topçular")*(402.7/30*H23)
+COUNTIF(G23,"Yalova")*(402.7/30*H23)
+COUNTIF(G23,"Yenikapı")*(402.7/30*H23)</f>
        <v>0</v>
      </c>
      <c r="BC23" s="24">
        <f>COUNTIF(G23,"Yok")*(0)
+COUNTIF(G23,"Eskihisar")*(83.89/30*H23)
+COUNTIF(G23,"Harem")*(83.89/30*H23)
+COUNTIF(G23,"Sirkeci")*(83.89/30*H23)
+COUNTIF(G23,"Topçular")*(83.89/30*H23)</f>
        <v>0</v>
      </c>
      <c r="BD23" s="21">
        <f ca="1">(BE23/CU26)</f>
        <v>0</v>
      </c>
      <c r="BE23" s="21">
        <f>COUNTIF($A$1,"2S-Gişe Sorumlusu-Üniversite")*(AZ23)
+COUNTIF($A$1,"2S-Gişe Sorumlusu-MYO")*(AZ23)
+COUNTIF($A$1,"2S-Gişe Sorumlusu-Lise")*(AZ23)
+COUNTIF($A$1,"2S-Gişe Sorumlusu-Ortaokul")*(AZ23)
+COUNTIF($A$1,"2S-Gişe Sorumlusu-İlkokul")*(AZ23)
+COUNTIF($A$1,"2S-Gişe Görevlisi-Üniversite")*(BA23)
+COUNTIF($A$1,"2S-Gişe Görevlisi-MYO")*(BA23)
+COUNTIF($A$1,"2S-Gişe Görevlisi-Lise")*(BA23)
+COUNTIF($A$1,"2S-Gişe Görevlisi-Ortaokul")*(BA23)
+COUNTIF($A$1,"2S-Gişe Görevlisi-İlkokul")*(BA23)
+COUNTIF($A$1,"2S-Terminal Görevlisi-Üniversite")*(BB23)
+COUNTIF($A$1,"2S-Terminal Görevlisi-MYO")*(BB23)
+COUNTIF($A$1,"2S-Terminal Görevlisi-Lise")*(BB23)
+COUNTIF($A$1,"2S-Terminal Görevlisi-Ortaokul")*(BB23)
+COUNTIF($A$1,"2S-Terminal Görevlisi-İlkokul")*(BB23)
+COUNTIF($A$1,"2S-İskele Görevlisi-Üniversite")*(BC23)
+COUNTIF($A$1,"2S-İskele Görevlisi-MYO")*(BC23)
+COUNTIF($A$1,"2S-İskele Görevlisi-Lise")*(BC23)
+COUNTIF($A$1,"2S-İskele Görevlisi-Ortaokul")*(BC23)
+COUNTIF($A$1,"2S-İskele Görevlisi-İlkokul")*(BC23)</f>
        <v>0</v>
      </c>
      <c r="BF23" s="21">
        <f ca="1">(BG23/CU26)</f>
        <v>0</v>
      </c>
      <c r="BG23" s="21">
        <f>COUNTIF($A$1,"2S-Gişe Sorumlusu-Üniversite")*(13.1*I23)
+COUNTIF($A$1,"2S-Gişe Sorumlusu-MYO")*(13.1*I23)
+COUNTIF($A$1,"2S-Gişe Sorumlusu-Lise")*(13.1*I23)
+COUNTIF($A$1,"2S-Gişe Sorumlusu-Ortaokul")*(13.1*I23)
+COUNTIF($A$1,"2S-Gişe Sorumlusu-İlkokul")*(13.1*I23)
+COUNTIF($A$1,"2S-Gişe Görevlisi-Üniversite")*(13.1*I23)
+COUNTIF($A$1,"2S-Gişe Görevlisi-MYO")*(13.1*I23)
+COUNTIF($A$1,"2S-Gişe Görevlisi-Lise")*(13.1*I23)
+COUNTIF($A$1,"2S-Gişe Görevlisi-Ortaokul")*(13.1*I23)
+COUNTIF($A$1,"2S-Gişe Görevlisi-İlkokul")*(13.1*I23)
+COUNTIF($A$1,"2S-Terminal Görevlisi-Üniversite")*(13.1*I23)
+COUNTIF($A$1,"2S-Terminal Görevlisi-MYO")*(13.1*I23)
+COUNTIF($A$1,"2S-Terminal Görevlisi-Lise")*(13.1*I23)
+COUNTIF($A$1,"2S-Terminal Görevlisi-Ortaokul")*(13.1*I23)
+COUNTIF($A$1,"2S-Terminal Görevlisi-İlkokul")*(13.1*I23)
+COUNTIF($A$1,"2S-İskele Görevlisi-Üniversite")*(13.1*I23)
+COUNTIF($A$1,"2S-İskele Görevlisi-MYO")*(13.1*I23)
+COUNTIF($A$1,"2S-İskele Görevlisi-Lise")*(13.1*I23)
+COUNTIF($A$1,"2S-İskele Görevlisi-Ortaokul")*(13.1*I23)
+COUNTIF($A$1,"2S-İskele Görevlisi-İlkokul")*(13.1*I23)</f>
        <v>0</v>
      </c>
      <c r="BH23" s="21">
        <f ca="1">(BI23/CU26)</f>
        <v>0</v>
      </c>
      <c r="BI23" s="21">
        <f>COUNTIF($A$1,"Atölye-Formen")*(4.03*J23)
+COUNTIF($A$1,"Atölye-Teknisyen")*(4.03*J23)
+COUNTIF($A$1,"Atölye-Ustabaşı")*(4.03*J23)
+COUNTIF($A$1,"Atölye-Usta")*(4.03*J23)
+COUNTIF($A$1,"Atölye-İşçi")*(4.03*J23)</f>
        <v>0</v>
      </c>
      <c r="BJ23" s="21">
        <f ca="1">(BK23/CU26)</f>
        <v>0</v>
      </c>
      <c r="BK23" s="21">
        <f>COUNTIF($A$1,"Atölye-Formen")*(5.35*K23)
+COUNTIF($A$1,"Atölye-Teknisyen")*(5.35*K23)
+COUNTIF($A$1,"Atölye-Ustabaşı")*(5.35*K23)
+COUNTIF($A$1,"Atölye-Usta")*(5.35*K23)
+COUNTIF($A$1,"Atölye-İşçi")*(5.35*K23)</f>
        <v>0</v>
      </c>
      <c r="BL23" s="21">
        <f ca="1">(BM23/CV26)</f>
        <v>0</v>
      </c>
      <c r="BM23" s="21">
        <f>COUNTIF($A$1,"2S-Gişe Sorumlusu-Üniversite")*(5.4*L23)
+COUNTIF($A$1,"2S-Gişe Sorumlusu-MYO")*(5.4*L23)
+COUNTIF($A$1,"2S-Gişe Sorumlusu-Lise")*(5.4*L23)
+COUNTIF($A$1,"2S-Gişe Sorumlusu-Ortaokul")*(5.4*L23)
+COUNTIF($A$1,"2S-Gişe Sorumlusu-İlkokul")*(5.4*L23)
+COUNTIF($A$1,"2S-Gişe Görevlisi-Üniversite")*(5.4*L23)
+COUNTIF($A$1,"2S-Gişe Görevlisi-MYO")*(5.4*L23)
+COUNTIF($A$1,"2S-Gişe Görevlisi-Lise")*(5.4*L23)
+COUNTIF($A$1,"2S-Gişe Görevlisi-Ortaokul")*(5.4*L23)
+COUNTIF($A$1,"2S-Gişe Görevlisi-İlkokul")*(5.4*L23)</f>
        <v>0</v>
      </c>
      <c r="BN23" s="21">
        <f ca="1">(BL23)</f>
        <v>0</v>
      </c>
      <c r="BU23" s="39" t="s">
        <v>0</v>
      </c>
      <c r="BV23" s="39" t="s">
        <v>0</v>
      </c>
      <c r="BW23" s="21" t="s">
        <v>0</v>
      </c>
      <c r="BX23" s="21">
        <f ca="1">(AT21+AV21+AX21+AZ21+BB21+BJ21+AV23+AY23+BE23+BG23+BI23+BK23+BM23+BY11+CB11*CP26)</f>
        <v>13412.993880087199</v>
      </c>
      <c r="BY23" s="21">
        <f ca="1">(ROUND((BX23+CD23+CI23+CJ23+CS26),2))</f>
        <v>19532.32</v>
      </c>
      <c r="BZ23" s="21">
        <f ca="1">(ROUND(BY23*0.00759,2))</f>
        <v>148.25</v>
      </c>
      <c r="CA23" s="21">
        <f>(CH11)</f>
        <v>6471</v>
      </c>
      <c r="CB23" s="21">
        <f>(CA23*0.00759)</f>
        <v>49.114890000000003</v>
      </c>
      <c r="CC23" s="21">
        <f ca="1">(BY23-CA23)</f>
        <v>13061.32</v>
      </c>
      <c r="CD23" s="21">
        <f ca="1">(ROUND(CC23*0.00759,2))</f>
        <v>99.14</v>
      </c>
      <c r="CE23" s="21">
        <f ca="1">(CD23)</f>
        <v>99.14</v>
      </c>
      <c r="CF23" s="21">
        <f ca="1">(AK10+AR23+BN23+BX11)</f>
        <v>258.8</v>
      </c>
      <c r="CG23" s="21">
        <f ca="1">(BY23-CF23)</f>
        <v>19273.52</v>
      </c>
      <c r="CH23" s="21">
        <f ca="1">IF(CG23&gt;=CG11*7.5,CG11*7.5,CG23)</f>
        <v>19273.52</v>
      </c>
      <c r="CI23" s="21">
        <f ca="1">(ROUND(IF(CH23&gt;CG11*7.5,CG11*7.5*0.14,CH23*0.14),2))</f>
        <v>2698.29</v>
      </c>
      <c r="CJ23" s="21">
        <f ca="1">(ROUND(IF(CH23&gt;CG11*7.5,CG11*7.5*0.01,CH23*0.01),2))</f>
        <v>192.74</v>
      </c>
      <c r="CK23" s="21">
        <f ca="1">(BJ3+AL5+BX8+BH7)</f>
        <v>169.94138873603907</v>
      </c>
      <c r="CL23" s="21">
        <f ca="1">(AV9-BF9-BG9-CK23)</f>
        <v>12577.90861126396</v>
      </c>
      <c r="CM23" s="21">
        <f ca="1">SUM($CL$18:CL23)</f>
        <v>50244.782356471231</v>
      </c>
      <c r="CN23" s="30">
        <f t="shared" ca="1" si="61"/>
        <v>0.2</v>
      </c>
      <c r="CO23" s="33">
        <f t="shared" ca="1" si="70"/>
        <v>0</v>
      </c>
      <c r="CP23" s="35">
        <f t="shared" ca="1" si="62"/>
        <v>0.2</v>
      </c>
      <c r="CQ23" s="21">
        <f t="shared" ca="1" si="79"/>
        <v>2515.58</v>
      </c>
      <c r="CR23" s="21">
        <f>(AP9)</f>
        <v>638.01</v>
      </c>
      <c r="CS23" s="21">
        <f t="shared" ca="1" si="71"/>
        <v>1877.57</v>
      </c>
      <c r="CT23" s="35">
        <f t="shared" si="19"/>
        <v>0.84240999999999999</v>
      </c>
      <c r="CU23" s="35">
        <f t="shared" ca="1" si="72"/>
        <v>0.67240999999999995</v>
      </c>
      <c r="CV23" s="35">
        <f t="shared" ca="1" si="73"/>
        <v>0.79240999999999995</v>
      </c>
      <c r="CW23" s="21">
        <f ca="1">(AV9)</f>
        <v>14962.14</v>
      </c>
      <c r="CX23" s="21">
        <f t="shared" ca="1" si="74"/>
        <v>3067.2386999999999</v>
      </c>
      <c r="CY23" s="21">
        <f t="shared" ca="1" si="75"/>
        <v>149.62139999999999</v>
      </c>
      <c r="CZ23" s="21">
        <f t="shared" ca="1" si="76"/>
        <v>-748.10699999999997</v>
      </c>
      <c r="DA23" s="21">
        <f t="shared" ca="1" si="77"/>
        <v>17430.893100000001</v>
      </c>
      <c r="DC23" s="27">
        <v>21</v>
      </c>
      <c r="DD23" s="31">
        <v>10.5</v>
      </c>
      <c r="DE23" s="32">
        <v>0.23</v>
      </c>
      <c r="DF23" s="42"/>
    </row>
    <row r="24" spans="1:110" ht="39.950000000000003" customHeight="1" x14ac:dyDescent="0.25">
      <c r="A24" s="3">
        <f t="shared" ca="1" si="33"/>
        <v>0.27</v>
      </c>
      <c r="B24" s="5" t="s">
        <v>21</v>
      </c>
      <c r="C24" s="14">
        <v>0</v>
      </c>
      <c r="D24" s="15">
        <v>0</v>
      </c>
      <c r="E24" s="15">
        <v>0</v>
      </c>
      <c r="F24" s="14">
        <v>20</v>
      </c>
      <c r="G24" s="16" t="s">
        <v>1</v>
      </c>
      <c r="H24" s="14">
        <v>0</v>
      </c>
      <c r="I24" s="14">
        <v>0</v>
      </c>
      <c r="J24" s="14">
        <v>0</v>
      </c>
      <c r="K24" s="14">
        <v>0</v>
      </c>
      <c r="L24" s="14">
        <v>0</v>
      </c>
      <c r="M24" s="17" t="s">
        <v>1</v>
      </c>
      <c r="N24" s="17" t="s">
        <v>1</v>
      </c>
      <c r="O24" s="17" t="s">
        <v>1</v>
      </c>
      <c r="P24" s="18">
        <v>0</v>
      </c>
      <c r="Q24" s="6">
        <f ca="1">(BY24+CA12+CC12-CE24-CI24-CJ24-BH8-R24)</f>
        <v>6810.0963625823088</v>
      </c>
      <c r="R24" s="6">
        <f ca="1">(AX22+AZ22+BB22+CD12)</f>
        <v>840</v>
      </c>
      <c r="S24" s="7">
        <f t="shared" ca="1" si="41"/>
        <v>7650.0963625823088</v>
      </c>
      <c r="T24" s="44" t="s">
        <v>0</v>
      </c>
      <c r="U24" s="45" t="s">
        <v>0</v>
      </c>
      <c r="V24" s="45" t="s">
        <v>0</v>
      </c>
      <c r="W24" s="71"/>
      <c r="X24" s="65"/>
      <c r="Y24" s="47" t="s">
        <v>0</v>
      </c>
      <c r="Z24" s="51" t="s">
        <v>0</v>
      </c>
      <c r="AA24" s="54"/>
      <c r="AB24" s="55"/>
      <c r="AC24" s="57"/>
      <c r="AD24" s="56"/>
      <c r="AE24" s="39" t="s">
        <v>104</v>
      </c>
      <c r="AF24" s="21">
        <v>168.11</v>
      </c>
      <c r="AG24" s="21">
        <v>207.57</v>
      </c>
      <c r="AH24" s="21">
        <f>(BB22)</f>
        <v>840</v>
      </c>
      <c r="AI24" s="21">
        <f ca="1">ROUND((AH24+AJ24*-1+AM24*-1+AN24*-1+AQ24*-1),2)</f>
        <v>1324.27</v>
      </c>
      <c r="AJ24" s="21">
        <f ca="1">(AI24*0.00759*-1)</f>
        <v>-10.0512093</v>
      </c>
      <c r="AK24" s="21">
        <f>(12.94*F24)</f>
        <v>258.8</v>
      </c>
      <c r="AL24" s="21">
        <f ca="1">(AI24-AK24)</f>
        <v>1065.47</v>
      </c>
      <c r="AM24" s="21">
        <f ca="1">(AL24*0.14*-1)</f>
        <v>-149.16580000000002</v>
      </c>
      <c r="AN24" s="21">
        <f ca="1">(AL24*0.01*-1)</f>
        <v>-10.6547</v>
      </c>
      <c r="AO24" s="21">
        <f>(0)</f>
        <v>0</v>
      </c>
      <c r="AP24" s="21">
        <f ca="1">(AI24+AM24+AN24-AO24)</f>
        <v>1164.4494999999999</v>
      </c>
      <c r="AQ24" s="21">
        <f ca="1">(AP24*CP27*-1)</f>
        <v>-314.401365</v>
      </c>
      <c r="AR24" s="26">
        <v>30</v>
      </c>
      <c r="AS24" s="21">
        <f ca="1">(AT24/BJ8)</f>
        <v>982.19967042469534</v>
      </c>
      <c r="AT24" s="21">
        <f>(602/30*AR24)</f>
        <v>602</v>
      </c>
      <c r="AU24" s="21">
        <f>(0)</f>
        <v>0</v>
      </c>
      <c r="AV24" s="21">
        <f>(0)</f>
        <v>0</v>
      </c>
      <c r="AW24" s="21">
        <f>(0)</f>
        <v>0</v>
      </c>
      <c r="AX24" s="26">
        <v>0</v>
      </c>
      <c r="AY24" s="21">
        <f ca="1">(AZ24/BJ8)</f>
        <v>0</v>
      </c>
      <c r="AZ24" s="21">
        <f>(AR22*AX24)</f>
        <v>0</v>
      </c>
      <c r="BA24" s="26">
        <v>30</v>
      </c>
      <c r="BB24" s="21">
        <f ca="1">(BC24/BJ8)</f>
        <v>734.20241144703141</v>
      </c>
      <c r="BC24" s="21">
        <f>COUNTIF($A$1,"1S-Makine ve Elektrik Teknisyenleri-Üniversite")*(566.31/30*BA24)
+COUNTIF($A$1,"1S-Makine ve Elektrik Teknisyenleri-MYO")*(566.31/30*BA24)
+COUNTIF($A$1,"1S-Makine ve Elektrik Teknisyenleri-Lise")*(566.31/30*BA24)
+COUNTIF($A$1,"1S-Makine ve Elektrik Teknisyenleri-Ortaokul")*(566.31/30*BA24)
+COUNTIF($A$1,"1S-Makine ve Elektrik Teknisyenleri-İlkokul")*(566.31/30*BA24)
+COUNTIF($A$1,"1S-Yakıt Elemanı-Üniversite")*(566.31/30*BA24)
+COUNTIF($A$1,"1S-Yakıt Elemanı-MYO")*(566.31/30*BA24)
+COUNTIF($A$1,"1S-Yakıt Elemanı-Lise")*(566.31/30*BA24)
+COUNTIF($A$1,"1S-Yakıt Elemanı-Ortaokul")*(566.31/30*BA24)
+COUNTIF($A$1,"1S-Yakıt Elemanı-İlkokul")*(566.31/30*BA24)
+COUNTIF($A$1,"1S-Tanker Şoförü-Üniversite")*(566.31/30*BA24)
+COUNTIF($A$1,"1S-Tanker Şoförü-MYO")*(566.31/30*BA24)
+COUNTIF($A$1,"1S-Tanker Şoförü-Lise")*(566.31/30*BA24)
+COUNTIF($A$1,"1S-Tanker Şoförü-Ortaokul")*(566.31/30*BA24)
+COUNTIF($A$1,"1S-Tanker Şoförü-İlkokul")*(566.31/30*BA24)
+COUNTIF($A$1,"1S-Vinç Operatörü-Üniversite")*(566.31/30*BA24)
+COUNTIF($A$1,"1S-Vinç Operatörü-MYO")*(566.31/30*BA24)
+COUNTIF($A$1,"1S-Vinç Operatörü-Lise")*(566.31/30*BA24)
+COUNTIF($A$1,"1S-Vinç Operatörü-Ortaokul")*(566.31/30*BA24)
+COUNTIF($A$1,"1S-Vinç Operatörü-İlkokul")*(566.31/30*BA24)
+COUNTIF($A$1,"1S-Rampa Görevlisi-Üniversite")*(566.31/30*BA24)
+COUNTIF($A$1,"1S-Rampa Görevlisi-MYO")*(566.31/30*BA24)
+COUNTIF($A$1,"1S-Rampa Görevlisi-Lise")*(566.31/30*BA24)
+COUNTIF($A$1,"1S-Rampa Görevlisi-Ortaokul")*(566.31/30*BA24)
+COUNTIF($A$1,"1S-Rampa Görevlisi-İlkokul")*(566.31/30*BA24)
+COUNTIF($A$1,"1S-Yakıt Hizmetlisi-Üniversite")*(566.31/30*BA24)
+COUNTIF($A$1,"1S-Yakıt Hizmetlisi-MYO")*(566.31/30*BA24)
+COUNTIF($A$1,"1S-Yakıt Hizmetlisi-Lise")*(566.31/30*BA24)
+COUNTIF($A$1,"1S-Yakıt Hizmetlisi-Ortaokul")*(566.31/30*BA24)
+COUNTIF($A$1,"1S-Yakıt Hizmetlisi-İlkokul")*(566.31/30*BA24)
+COUNTIF($A$1,"2S-Rampa Görevlisi-Üniversite")*(450/30*BA24)
+COUNTIF($A$1,"2S-Rampa Görevlisi-MYO")*(450/30*BA24)
+COUNTIF($A$1,"2S-Rampa Görevlisi-Lise")*(450/30*BA24)
+COUNTIF($A$1,"2S-Rampa Görevlisi-Ortaokul")*(450/30*BA24)
+COUNTIF($A$1,"2S-Rampa Görevlisi-İlkokul")*(450/30*BA24)
+COUNTIF($A$1,"2S-Hizmetliler-Üniversite")*(450/30*BA24)
+COUNTIF($A$1,"2S-Hizmetliler-MYO")*(450/30*BA24)
+COUNTIF($A$1,"2S-Hizmetliler-Lise")*(450/30*BA24)
+COUNTIF($A$1,"2S-Hizmetliler-Ortaokul")*(450/30*BA24)
+COUNTIF($A$1,"2S-Hizmetliler-İlkokul")*(450/30*BA24)
+COUNTIF($A$1,"2S-Çaycı-Üniversite")*(450/30*BA24)
+COUNTIF($A$1,"2S-Çaycı-MYO")*(450/30*BA24)
+COUNTIF($A$1,"2S-Çaycı-Lise")*(450/30*BA24)
+COUNTIF($A$1,"2S-Çaycı-Ortaokul")*(450/30*BA24)
+COUNTIF($A$1,"2S-Çaycı-İlkokul")*(450/30*BA24)
+COUNTIF($A$1,"2S-Gişe Sorumlusu-Üniversite")*(450/30*BA24)
+COUNTIF($A$1,"2S-Gişe Sorumlusu-MYO")*(450/30*BA24)
+COUNTIF($A$1,"2S-Gişe Sorumlusu-Lise")*(450/30*BA24)
+COUNTIF($A$1,"2S-Gişe Sorumlusu-Ortaokul")*(450/30*BA24)
+COUNTIF($A$1,"2S-Gişe Sorumlusu-İlkokul")*(450/30*BA24)
+COUNTIF($A$1,"2S-Gişe Görevlisi-Üniversite")*(450/30*BA24)
+COUNTIF($A$1,"2S-Gişe Görevlisi-MYO")*(450/30*BA24)
+COUNTIF($A$1,"2S-Gişe Görevlisi-Lise")*(450/30*BA24)
+COUNTIF($A$1,"2S-Gişe Görevlisi-Ortaokul")*(450/30*BA24)
+COUNTIF($A$1,"2S-Gişe Görevlisi-İlkokul")*(450/30*BA24)
+COUNTIF($A$1,"2S-Terminal Görevlisi-Üniversite")*(450/30*BA24)
+COUNTIF($A$1,"2S-Terminal Görevlisi-MYO")*(450/30*BA24)
+COUNTIF($A$1,"2S-Terminal Görevlisi-Lise")*(450/30*BA24)
+COUNTIF($A$1,"2S-Terminal Görevlisi-Ortaokul")*(450/30*BA24)
+COUNTIF($A$1,"2S-Terminal Görevlisi-İlkokul")*(450/30*BA24)
+COUNTIF($A$1,"2S-İskele Görevlisi-Üniversite")*(450/30*BA24)
+COUNTIF($A$1,"2S-İskele Görevlisi-MYO")*(450/30*BA24)
+COUNTIF($A$1,"2S-İskele Görevlisi-Lise")*(450/30*BA24)
+COUNTIF($A$1,"2S-İskele Görevlisi-Ortaokul")*(450/30*BA24)
+COUNTIF($A$1,"2S-İskele Görevlisi-İlkokul")*(450/30*BA24)
+COUNTIF($A$1,"Atölye-Formen")*(450/30*BA24)
+COUNTIF($A$1,"Atölye-Teknisyen")*(450/30*BA24)
+COUNTIF($A$1,"Atölye-Ustabaşı")*(450/30*BA24)
+COUNTIF($A$1,"Atölye-Usta")*(450/30*BA24)
+COUNTIF($A$1,"Atölye-İşçi")*(450/30*BA24)</f>
        <v>450</v>
      </c>
      <c r="BD24" s="24">
        <f>COUNTIF(G24,"Yok")*(0)
+COUNTIF(G24,"Bakırköy")*(115.36/30*H24)
+COUNTIF(G24,"Bandırma")*(115.36/30*H24)
+COUNTIF(G24,"Bostancı")*(520.17/30*H24)
+COUNTIF(G24,"Bursa")*(520.17/30*H24)
+COUNTIF(G24,"Eskihisar")*(635.52/30*H24)
+COUNTIF(G24,"Harem")*(520.17/30*H24)
+COUNTIF(G24,"Kabataş")*(520.17/30*H24)
+COUNTIF(G24,"Kadıköy")*(520.17/30*H24)
+COUNTIF(G24,"Pendik")*(520.17/30*H24)
+COUNTIF(G24,"Sirkeci")*(520.17/30*H24)
+COUNTIF(G24,"Topçular")*(635.52/30*H24)
+COUNTIF(G24,"Yalova")*(635.52/30*H24)
+COUNTIF(G24,"Yenikapı")*(635.52/30*H24)</f>
        <v>0</v>
      </c>
      <c r="BE24" s="24">
        <f>COUNTIF(G24,"Yok")*(0)
+COUNTIF(G24,"Bakırköy")*(98.58/30*H24)
+COUNTIF(G24,"Bandırma")*(98.58/30*H24)
+COUNTIF(G24,"Beşiktaş")*(98.58/30*H24)
+COUNTIF(G24,"Bostancı")*(98.58/30*H24)
+COUNTIF(G24,"Bursa")*(98.58/30*H24)
+COUNTIF(G24,"Eskihisar")*(98.58/30*H24)
+COUNTIF(G24,"Harem")*(98.58/30*H24)
+COUNTIF(G24,"Kabataş")*(98.58/30*H24)
+COUNTIF(G24,"Kadıköy")*(98.58/30*H24)
+COUNTIF(G24,"Pendik")*(98.58/30*H24)
+COUNTIF(G24,"Sirkeci")*(98.58/30*H24)
+COUNTIF(G24,"Topçular")*(98.58/30*H24)
+COUNTIF(G24,"Yalova")*(98.58/30*H24)
+COUNTIF(G24,"Yenikapı")*(98.58/30*H24)</f>
        <v>0</v>
      </c>
      <c r="BF24" s="24">
        <f>COUNTIF(G24,"Yok")*(0)
+COUNTIF(G24,"Bakırköy")*(264.27/30*H24)
+COUNTIF(G24,"Bandırma")*(125.85/30*H24)
+COUNTIF(G24,"Beşiktaş")*(264.27/30*H24)
+COUNTIF(G24,"Bostancı")*(264.27/30*H24)
+COUNTIF(G24,"Bursa")*(402.7/30*H24)
+COUNTIF(G24,"Eskihisar")*(402.7/30*H24)
+COUNTIF(G24,"Harem")*(402.7/30*H24)
+COUNTIF(G24,"Kabataş")*(264.27/30*H24)
+COUNTIF(G24,"Kadıköy")*(264.27/30*H24)
+COUNTIF(G24,"Maltepe")*(125.85/30*H24)
+COUNTIF(G24,"Pendik")*(264.27/30*H24)
+COUNTIF(G24,"Sirkeci")*(402.7/30*H24)
+COUNTIF(G24,"Topçular")*(402.7/30*H24)
+COUNTIF(G24,"Yalova")*(402.7/30*H24)
+COUNTIF(G24,"Yenikapı")*(402.7/30*H24)</f>
        <v>0</v>
      </c>
      <c r="BG24" s="24">
        <f>COUNTIF(G24,"Yok")*(0)
+COUNTIF(G24,"Eskihisar")*(83.89/30*H24)
+COUNTIF(G24,"Harem")*(83.89/30*H24)
+COUNTIF(G24,"Sirkeci")*(83.89/30*H24)
+COUNTIF(G24,"Topçular")*(83.89/30*H24)</f>
        <v>0</v>
      </c>
      <c r="BH24" s="21">
        <f ca="1">(BI24/BJ8)</f>
        <v>0</v>
      </c>
      <c r="BI24" s="21">
        <f>COUNTIF($A$1,"2S-Gişe Sorumlusu-Üniversite")*(BD24)
+COUNTIF($A$1,"2S-Gişe Sorumlusu-MYO")*(BD24)
+COUNTIF($A$1,"2S-Gişe Sorumlusu-Lise")*(BD24)
+COUNTIF($A$1,"2S-Gişe Sorumlusu-Ortaokul")*(BD24)
+COUNTIF($A$1,"2S-Gişe Sorumlusu-İlkokul")*(BD24)
+COUNTIF($A$1,"2S-Gişe Görevlisi-Üniversite")*(BE24)
+COUNTIF($A$1,"2S-Gişe Görevlisi-MYO")*(BE24)
+COUNTIF($A$1,"2S-Gişe Görevlisi-Lise")*(BE24)
+COUNTIF($A$1,"2S-Gişe Görevlisi-Ortaokul")*(BE24)
+COUNTIF($A$1,"2S-Gişe Görevlisi-İlkokul")*(BE24)
+COUNTIF($A$1,"2S-Terminal Görevlisi-Üniversite")*(BF24)
+COUNTIF($A$1,"2S-Terminal Görevlisi-MYO")*(BF24)
+COUNTIF($A$1,"2S-Terminal Görevlisi-Lise")*(BF24)
+COUNTIF($A$1,"2S-Terminal Görevlisi-Ortaokul")*(BF24)
+COUNTIF($A$1,"2S-Terminal Görevlisi-İlkokul")*(BF24)
+COUNTIF($A$1,"2S-İskele Görevlisi-Üniversite")*(BG24)
+COUNTIF($A$1,"2S-İskele Görevlisi-MYO")*(BG24)
+COUNTIF($A$1,"2S-İskele Görevlisi-Lise")*(BG24)
+COUNTIF($A$1,"2S-İskele Görevlisi-Ortaokul")*(BG24)
+COUNTIF($A$1,"2S-İskele Görevlisi-İlkokul")*(BG24)</f>
        <v>0</v>
      </c>
      <c r="BJ24" s="21">
        <f ca="1">(BK24/BJ8)</f>
        <v>0</v>
      </c>
      <c r="BK24" s="21">
        <f>COUNTIF($A$1,"2S-Gişe Sorumlusu-Üniversite")*(13.1*I24)
+COUNTIF($A$1,"2S-Gişe Sorumlusu-MYO")*(13.1*I24)
+COUNTIF($A$1,"2S-Gişe Sorumlusu-Lise")*(13.1*I24)
+COUNTIF($A$1,"2S-Gişe Sorumlusu-Ortaokul")*(13.1*I24)
+COUNTIF($A$1,"2S-Gişe Sorumlusu-İlkokul")*(13.1*I24)
+COUNTIF($A$1,"2S-Gişe Görevlisi-Üniversite")*(13.1*I24)
+COUNTIF($A$1,"2S-Gişe Görevlisi-MYO")*(13.1*I24)
+COUNTIF($A$1,"2S-Gişe Görevlisi-Lise")*(13.1*I24)
+COUNTIF($A$1,"2S-Gişe Görevlisi-Ortaokul")*(13.1*I24)
+COUNTIF($A$1,"2S-Gişe Görevlisi-İlkokul")*(13.1*I24)
+COUNTIF($A$1,"2S-Terminal Görevlisi-Üniversite")*(13.1*I24)
+COUNTIF($A$1,"2S-Terminal Görevlisi-MYO")*(13.1*I24)
+COUNTIF($A$1,"2S-Terminal Görevlisi-Lise")*(13.1*I24)
+COUNTIF($A$1,"2S-Terminal Görevlisi-Ortaokul")*(13.1*I24)
+COUNTIF($A$1,"2S-Terminal Görevlisi-İlkokul")*(13.1*I24)
+COUNTIF($A$1,"2S-İskele Görevlisi-Üniversite")*(13.1*I24)
+COUNTIF($A$1,"2S-İskele Görevlisi-MYO")*(13.1*I24)
+COUNTIF($A$1,"2S-İskele Görevlisi-Lise")*(13.1*I24)
+COUNTIF($A$1,"2S-İskele Görevlisi-Ortaokul")*(13.1*I24)
+COUNTIF($A$1,"2S-İskele Görevlisi-İlkokul")*(13.1*I24)</f>
        <v>0</v>
      </c>
      <c r="BL24" s="21">
        <f ca="1">(BM24/BJ8)</f>
        <v>0</v>
      </c>
      <c r="BM24" s="21">
        <f>COUNTIF($A$1,"Atölye-Formen")*(4.03*J24)
+COUNTIF($A$1,"Atölye-Teknisyen")*(4.03*J24)
+COUNTIF($A$1,"Atölye-Ustabaşı")*(4.03*J24)
+COUNTIF($A$1,"Atölye-Usta")*(4.03*J24)
+COUNTIF($A$1,"Atölye-İşçi")*(4.03*J24)</f>
        <v>0</v>
      </c>
      <c r="BN24" s="21">
        <f ca="1">(BO24/BJ8)</f>
        <v>0</v>
      </c>
      <c r="BO24" s="21">
        <f>COUNTIF($A$1,"Atölye-Formen")*(5.35*K24)
+COUNTIF($A$1,"Atölye-Teknisyen")*(5.35*K24)
+COUNTIF($A$1,"Atölye-Ustabaşı")*(5.35*K24)
+COUNTIF($A$1,"Atölye-Usta")*(5.35*K24)
+COUNTIF($A$1,"Atölye-İşçi")*(5.35*K24)</f>
        <v>0</v>
      </c>
      <c r="BP24" s="21">
        <f ca="1">(BA25/BK8)</f>
        <v>0</v>
      </c>
      <c r="BU24" s="39" t="s">
        <v>0</v>
      </c>
      <c r="BV24" s="39" t="s">
        <v>0</v>
      </c>
      <c r="BW24" s="21" t="s">
        <v>0</v>
      </c>
      <c r="BX24" s="21">
        <f ca="1">(AT22+AV22+AX22+AZ22+BB22+AT24+AZ24+BC24+BI24+BK24+BM24+BO24+BA25+BY12+CB12*CP27)</f>
        <v>7876.2260821027767</v>
      </c>
      <c r="BY24" s="21">
        <f ca="1">(ROUND((BX24+CD24+CI24+CJ24+BH8),2))</f>
        <v>10829.73</v>
      </c>
      <c r="BZ24" s="21">
        <f ca="1">(ROUND(BY24*0.00759,2))</f>
        <v>82.2</v>
      </c>
      <c r="CA24" s="21">
        <f>(CH12)</f>
        <v>6471</v>
      </c>
      <c r="CB24" s="21">
        <f>(CA24*0.00759)</f>
        <v>49.114890000000003</v>
      </c>
      <c r="CC24" s="21">
        <f ca="1">(BY24-CA24)</f>
        <v>4358.7299999999996</v>
      </c>
      <c r="CD24" s="21">
        <f ca="1">(ROUND(CC24*0.00759,2))</f>
        <v>33.08</v>
      </c>
      <c r="CE24" s="21">
        <f ca="1">(CD24)</f>
        <v>33.08</v>
      </c>
      <c r="CF24" s="21">
        <f ca="1">(AK24+AV24+BB25+BX12)</f>
        <v>258.8</v>
      </c>
      <c r="CG24" s="21">
        <f ca="1">(BY24-CF24)</f>
        <v>10570.93</v>
      </c>
      <c r="CH24" s="21">
        <f ca="1">IF(CG24&gt;=CG12*7.5,CG12*7.5,CG24)</f>
        <v>10570.93</v>
      </c>
      <c r="CI24" s="21">
        <f ca="1">(ROUND(IF(CH24&gt;CG12*7.5,CG12*7.5*0.14,CH24*0.14),2))</f>
        <v>1479.93</v>
      </c>
      <c r="CJ24" s="21">
        <f ca="1">(ROUND(IF(CH24&gt;CG12*7.5,CG12*7.5*0.01,CH24*0.01),2))</f>
        <v>105.71</v>
      </c>
      <c r="CK24" s="21">
        <f ca="1">(BI18+AL6+BX9+CB9)</f>
        <v>217.99797641703816</v>
      </c>
      <c r="CL24" s="21">
        <f ca="1">(AV10-BF10-BG10-CK24)</f>
        <v>8555.7520235829616</v>
      </c>
      <c r="CM24" s="21">
        <f ca="1">SUM($CL$18:CL24)</f>
        <v>58800.534380054189</v>
      </c>
      <c r="CN24" s="30">
        <f t="shared" ca="1" si="61"/>
        <v>0.2</v>
      </c>
      <c r="CO24" s="33">
        <f t="shared" ca="1" si="70"/>
        <v>0</v>
      </c>
      <c r="CP24" s="35">
        <f t="shared" ca="1" si="62"/>
        <v>0.2</v>
      </c>
      <c r="CQ24" s="21">
        <f t="shared" ca="1" si="79"/>
        <v>1711.15</v>
      </c>
      <c r="CR24" s="21">
        <f>(AP10)</f>
        <v>825.05</v>
      </c>
      <c r="CS24" s="21">
        <f t="shared" ca="1" si="71"/>
        <v>886.10000000000014</v>
      </c>
      <c r="CT24" s="35">
        <f t="shared" si="19"/>
        <v>0.84240999999999999</v>
      </c>
      <c r="CU24" s="35">
        <f t="shared" ca="1" si="72"/>
        <v>0.67240999999999995</v>
      </c>
      <c r="CV24" s="35">
        <f t="shared" ca="1" si="73"/>
        <v>0.79240999999999995</v>
      </c>
      <c r="CW24" s="21">
        <f ca="1">(AV10)</f>
        <v>10276.39</v>
      </c>
      <c r="CX24" s="21">
        <f t="shared" ca="1" si="74"/>
        <v>2106.6599499999998</v>
      </c>
      <c r="CY24" s="21">
        <f t="shared" ca="1" si="75"/>
        <v>102.76389999999999</v>
      </c>
      <c r="CZ24" s="21">
        <f t="shared" ca="1" si="76"/>
        <v>-513.81949999999995</v>
      </c>
      <c r="DA24" s="21">
        <f t="shared" ca="1" si="77"/>
        <v>11971.994349999999</v>
      </c>
      <c r="DC24" s="27">
        <v>22</v>
      </c>
      <c r="DD24" s="31">
        <v>11</v>
      </c>
      <c r="DE24" s="32">
        <v>0.24</v>
      </c>
      <c r="DF24" s="42"/>
    </row>
    <row r="25" spans="1:110" ht="39.950000000000003" customHeight="1" x14ac:dyDescent="0.25">
      <c r="A25" s="3">
        <f t="shared" ca="1" si="33"/>
        <v>0.27</v>
      </c>
      <c r="B25" s="5" t="s">
        <v>22</v>
      </c>
      <c r="C25" s="14">
        <v>0</v>
      </c>
      <c r="D25" s="15">
        <v>0</v>
      </c>
      <c r="E25" s="15">
        <v>0</v>
      </c>
      <c r="F25" s="14">
        <v>20</v>
      </c>
      <c r="G25" s="16" t="s">
        <v>1</v>
      </c>
      <c r="H25" s="14">
        <v>0</v>
      </c>
      <c r="I25" s="14">
        <v>0</v>
      </c>
      <c r="J25" s="14">
        <v>0</v>
      </c>
      <c r="K25" s="14">
        <v>0</v>
      </c>
      <c r="L25" s="14">
        <v>0</v>
      </c>
      <c r="M25" s="17" t="s">
        <v>1</v>
      </c>
      <c r="N25" s="17" t="s">
        <v>1</v>
      </c>
      <c r="O25" s="17" t="s">
        <v>1</v>
      </c>
      <c r="P25" s="18">
        <v>0</v>
      </c>
      <c r="Q25" s="6">
        <f ca="1">(BY25+CA13+CC13-CE25-CI25-CJ25-BH9-R25)</f>
        <v>6620.3508449853971</v>
      </c>
      <c r="R25" s="6">
        <f ca="1">(AX11+AZ11+BB11+CD13)</f>
        <v>840</v>
      </c>
      <c r="S25" s="7">
        <f t="shared" ca="1" si="41"/>
        <v>7460.3508449853971</v>
      </c>
      <c r="T25" s="44" t="s">
        <v>0</v>
      </c>
      <c r="U25" s="45" t="s">
        <v>0</v>
      </c>
      <c r="V25" s="45" t="s">
        <v>0</v>
      </c>
      <c r="W25" s="71"/>
      <c r="X25" s="65"/>
      <c r="Y25" s="47" t="s">
        <v>0</v>
      </c>
      <c r="Z25" s="51" t="s">
        <v>0</v>
      </c>
      <c r="AA25" s="54"/>
      <c r="AB25" s="55"/>
      <c r="AC25" s="57"/>
      <c r="AD25" s="56"/>
      <c r="AE25" s="39" t="s">
        <v>105</v>
      </c>
      <c r="AF25" s="21">
        <v>165</v>
      </c>
      <c r="AG25" s="21">
        <v>206.57</v>
      </c>
      <c r="AH25" s="21">
        <f>(BM13+BM14+BM15+BJ22+AR4+AR5+AR6+AR7+AY23+BC24+BO1+BO2)</f>
        <v>4792.26</v>
      </c>
      <c r="AI25" s="38" t="s">
        <v>0</v>
      </c>
      <c r="AJ25" s="38" t="s">
        <v>0</v>
      </c>
      <c r="AK25" s="38" t="s">
        <v>0</v>
      </c>
      <c r="AL25" s="38" t="s">
        <v>0</v>
      </c>
      <c r="AM25" s="21">
        <f ca="1">(BH18+BH19+BH20+BH21+BL16+BL17+BL18+BL19+BN23+BB25+BB26+BL22)</f>
        <v>0</v>
      </c>
      <c r="AN25" s="21">
        <f ca="1">(BG11*0.01*-1)</f>
        <v>-10.6547</v>
      </c>
      <c r="AO25" s="21">
        <f>(0)</f>
        <v>0</v>
      </c>
      <c r="AP25" s="21">
        <f ca="1">(BD11+BH11+AN25-AO25)</f>
        <v>1164.4494999999999</v>
      </c>
      <c r="AQ25" s="21">
        <f ca="1">(AP25*CP28*-1)</f>
        <v>-314.401365</v>
      </c>
      <c r="AR25" s="26">
        <v>30</v>
      </c>
      <c r="AS25" s="21">
        <f ca="1">(AT25/BJ9)</f>
        <v>982.19967042469534</v>
      </c>
      <c r="AT25" s="21">
        <f>(602/30*AR25)</f>
        <v>602</v>
      </c>
      <c r="AU25" s="21">
        <f>(0)</f>
        <v>0</v>
      </c>
      <c r="AV25" s="21">
        <f>(0)</f>
        <v>0</v>
      </c>
      <c r="AW25" s="21">
        <f>(0)</f>
        <v>0</v>
      </c>
      <c r="AX25" s="26">
        <v>0</v>
      </c>
      <c r="AY25" s="21">
        <f ca="1">(AZ25/BJ9)</f>
        <v>0</v>
      </c>
      <c r="AZ25" s="21">
        <f>(AR11*AX25)</f>
        <v>0</v>
      </c>
      <c r="BA25" s="21">
        <f>COUNTIF($A$1,"2S-Gişe Sorumlusu-Üniversite")*(5.4*L24)
+COUNTIF($A$1,"2S-Gişe Sorumlusu-MYO")*(5.4*L24)
+COUNTIF($A$1,"2S-Gişe Sorumlusu-Lise")*(5.4*L24)
+COUNTIF($A$1,"2S-Gişe Sorumlusu-Ortaokul")*(5.4*L24)
+COUNTIF($A$1,"2S-Gişe Sorumlusu-İlkokul")*(5.4*L24)
+COUNTIF($A$1,"2S-Gişe Görevlisi-Üniversite")*(5.4*L24)
+COUNTIF($A$1,"2S-Gişe Görevlisi-MYO")*(5.4*L24)
+COUNTIF($A$1,"2S-Gişe Görevlisi-Lise")*(5.4*L24)
+COUNTIF($A$1,"2S-Gişe Görevlisi-Ortaokul")*(5.4*L24)
+COUNTIF($A$1,"2S-Gişe Görevlisi-İlkokul")*(5.4*L24)</f>
        <v>0</v>
      </c>
      <c r="BB25" s="21">
        <f ca="1">(BP24)</f>
        <v>0</v>
      </c>
      <c r="BC25" s="21">
        <f>COUNTIF($A$1,"2S-Gişe Sorumlusu-Üniversite")*(BN14)
+COUNTIF($A$1,"2S-Gişe Sorumlusu-MYO")*(BN14)
+COUNTIF($A$1,"2S-Gişe Sorumlusu-Lise")*(BN14)
+COUNTIF($A$1,"2S-Gişe Sorumlusu-Ortaokul")*(BN14)
+COUNTIF($A$1,"2S-Gişe Sorumlusu-İlkokul")*(BN14)
+COUNTIF($A$1,"2S-Gişe Görevlisi-Üniversite")*(BQ7)
+COUNTIF($A$1,"2S-Gişe Görevlisi-MYO")*(BQ7)
+COUNTIF($A$1,"2S-Gişe Görevlisi-Lise")*(BQ7)
+COUNTIF($A$1,"2S-Gişe Görevlisi-Ortaokul")*(BQ7)
+COUNTIF($A$1,"2S-Gişe Görevlisi-İlkokul")*(BQ7)
+COUNTIF($A$1,"2S-Terminal Görevlisi-Üniversite")*(BR7)
+COUNTIF($A$1,"2S-Terminal Görevlisi-MYO")*(BR7)
+COUNTIF($A$1,"2S-Terminal Görevlisi-Lise")*(BR7)
+COUNTIF($A$1,"2S-Terminal Görevlisi-Ortaokul")*(BR7)
+COUNTIF($A$1,"2S-Terminal Görevlisi-İlkokul")*(BR7)
+COUNTIF($A$1,"2S-İskele Görevlisi-Üniversite")*(BS7)
+COUNTIF($A$1,"2S-İskele Görevlisi-MYO")*(BS7)
+COUNTIF($A$1,"2S-İskele Görevlisi-Lise")*(BS7)
+COUNTIF($A$1,"2S-İskele Görevlisi-Ortaokul")*(BS7)
+COUNTIF($A$1,"2S-İskele Görevlisi-İlkokul")*(BS7)</f>
        <v>0</v>
      </c>
      <c r="BD25" s="21">
        <f ca="1">(BE25/CU19)</f>
        <v>0</v>
      </c>
      <c r="BE25" s="21">
        <f>COUNTIF($A$1,"2S-Gişe Sorumlusu-Üniversite")*(13.1*I16)
+COUNTIF($A$1,"2S-Gişe Sorumlusu-MYO")*(13.1*I16)
+COUNTIF($A$1,"2S-Gişe Sorumlusu-Lise")*(13.1*I16)
+COUNTIF($A$1,"2S-Gişe Sorumlusu-Ortaokul")*(13.1*I16)
+COUNTIF($A$1,"2S-Gişe Sorumlusu-İlkokul")*(13.1*I16)
+COUNTIF($A$1,"2S-Gişe Görevlisi-Üniversite")*(13.1*I16)
+COUNTIF($A$1,"2S-Gişe Görevlisi-MYO")*(13.1*I16)
+COUNTIF($A$1,"2S-Gişe Görevlisi-Lise")*(13.1*I16)
+COUNTIF($A$1,"2S-Gişe Görevlisi-Ortaokul")*(13.1*I16)
+COUNTIF($A$1,"2S-Gişe Görevlisi-İlkokul")*(13.1*I16)
+COUNTIF($A$1,"2S-Terminal Görevlisi-Üniversite")*(13.1*I16)
+COUNTIF($A$1,"2S-Terminal Görevlisi-MYO")*(13.1*I16)
+COUNTIF($A$1,"2S-Terminal Görevlisi-Lise")*(13.1*I16)
+COUNTIF($A$1,"2S-Terminal Görevlisi-Ortaokul")*(13.1*I16)
+COUNTIF($A$1,"2S-Terminal Görevlisi-İlkokul")*(13.1*I16)
+COUNTIF($A$1,"2S-İskele Görevlisi-Üniversite")*(13.1*I16)
+COUNTIF($A$1,"2S-İskele Görevlisi-MYO")*(13.1*I16)
+COUNTIF($A$1,"2S-İskele Görevlisi-Lise")*(13.1*I16)
+COUNTIF($A$1,"2S-İskele Görevlisi-Ortaokul")*(13.1*I16)
+COUNTIF($A$1,"2S-İskele Görevlisi-İlkokul")*(13.1*I16)</f>
        <v>0</v>
      </c>
      <c r="BF25" s="21">
        <f ca="1">(BC19/CU19)</f>
        <v>0</v>
      </c>
      <c r="BU25" s="39" t="s">
        <v>0</v>
      </c>
      <c r="BV25" s="39" t="s">
        <v>0</v>
      </c>
      <c r="BW25" s="21" t="s">
        <v>0</v>
      </c>
      <c r="BX25" s="21">
        <f ca="1">(AT11+AV11+AX11+AZ11+BB11+AT25+AZ25+BO1+AS16+AU16+AW16+AY16+BA26+BY13+CB13*CP28)</f>
        <v>7684.6661718539417</v>
      </c>
      <c r="BY25" s="21">
        <f ca="1">(ROUND((BX25+CD25+CI25+CJ25+BH9),2))</f>
        <v>10518</v>
      </c>
      <c r="BZ25" s="21">
        <f ca="1">(ROUND(BY25*0.00759,2))</f>
        <v>79.83</v>
      </c>
      <c r="CA25" s="21">
        <f>(CH13)</f>
        <v>6471</v>
      </c>
      <c r="CB25" s="21">
        <f>(CA25*0.00759)</f>
        <v>49.114890000000003</v>
      </c>
      <c r="CC25" s="21">
        <f ca="1">(BY25-CA25)</f>
        <v>4047</v>
      </c>
      <c r="CD25" s="21">
        <f ca="1">(ROUND(CC25*0.00759,2))</f>
        <v>30.72</v>
      </c>
      <c r="CE25" s="21">
        <f ca="1">(CD25)</f>
        <v>30.72</v>
      </c>
      <c r="CF25" s="21">
        <f ca="1">(BF11+AV25+BB26+BX13)</f>
        <v>258.8</v>
      </c>
      <c r="CG25" s="21">
        <f ca="1">(BY25-CF25)</f>
        <v>10259.200000000001</v>
      </c>
      <c r="CH25" s="21">
        <f ca="1">IF(CG25&gt;=CG13*7.5,CG13*7.5,CG25)</f>
        <v>10259.200000000001</v>
      </c>
      <c r="CI25" s="21">
        <f ca="1">(ROUND(IF(CH25&gt;CG13*7.5,CG13*7.5*0.14,CH25*0.14),2))</f>
        <v>1436.29</v>
      </c>
      <c r="CJ25" s="21">
        <f ca="1">(ROUND(IF(CH25&gt;CG13*7.5,CG13*7.5*0.01,CH25*0.01),2))</f>
        <v>102.59</v>
      </c>
      <c r="CK25" s="21">
        <f ca="1">(BI19+AL7+BX10+CB10)</f>
        <v>208.23751441013093</v>
      </c>
      <c r="CL25" s="21">
        <f ca="1">(BY22-CI22-CJ22-CK25)</f>
        <v>8279.75248558987</v>
      </c>
      <c r="CM25" s="21">
        <f ca="1">SUM($CL$18:CL25)</f>
        <v>67080.286865644055</v>
      </c>
      <c r="CN25" s="30">
        <f t="shared" ca="1" si="61"/>
        <v>0.2</v>
      </c>
      <c r="CO25" s="33">
        <f t="shared" ca="1" si="70"/>
        <v>0</v>
      </c>
      <c r="CP25" s="35">
        <f t="shared" ca="1" si="62"/>
        <v>0.2</v>
      </c>
      <c r="CQ25" s="21">
        <f t="shared" ca="1" si="79"/>
        <v>1655.95</v>
      </c>
      <c r="CR25" s="21">
        <f>(CY10)</f>
        <v>1051.1099999999999</v>
      </c>
      <c r="CS25" s="21">
        <f t="shared" ca="1" si="71"/>
        <v>604.84000000000015</v>
      </c>
      <c r="CT25" s="35">
        <f t="shared" si="19"/>
        <v>0.84240999999999999</v>
      </c>
      <c r="CU25" s="35">
        <f t="shared" ca="1" si="72"/>
        <v>0.67240999999999995</v>
      </c>
      <c r="CV25" s="35">
        <f t="shared" ca="1" si="73"/>
        <v>0.79240999999999995</v>
      </c>
      <c r="CW25" s="21">
        <f ca="1">(BY22)</f>
        <v>9940.2000000000007</v>
      </c>
      <c r="CX25" s="21">
        <f t="shared" ca="1" si="74"/>
        <v>2037.741</v>
      </c>
      <c r="CY25" s="21">
        <f t="shared" ca="1" si="75"/>
        <v>99.402000000000015</v>
      </c>
      <c r="CZ25" s="21">
        <f t="shared" ca="1" si="76"/>
        <v>-497.01000000000005</v>
      </c>
      <c r="DA25" s="21">
        <f t="shared" ca="1" si="77"/>
        <v>11580.333000000001</v>
      </c>
      <c r="DC25" s="27">
        <v>23</v>
      </c>
      <c r="DD25" s="31">
        <v>11.5</v>
      </c>
      <c r="DE25" s="32">
        <v>0.25</v>
      </c>
      <c r="DF25" s="42"/>
    </row>
    <row r="26" spans="1:110" ht="39.950000000000003" customHeight="1" x14ac:dyDescent="0.25">
      <c r="A26" s="3">
        <f t="shared" ca="1" si="33"/>
        <v>0.27</v>
      </c>
      <c r="B26" s="5" t="s">
        <v>23</v>
      </c>
      <c r="C26" s="14">
        <v>0</v>
      </c>
      <c r="D26" s="15">
        <v>0</v>
      </c>
      <c r="E26" s="15">
        <v>0</v>
      </c>
      <c r="F26" s="14">
        <v>20</v>
      </c>
      <c r="G26" s="16" t="s">
        <v>1</v>
      </c>
      <c r="H26" s="14">
        <v>0</v>
      </c>
      <c r="I26" s="14">
        <v>0</v>
      </c>
      <c r="J26" s="14">
        <v>0</v>
      </c>
      <c r="K26" s="14">
        <v>0</v>
      </c>
      <c r="L26" s="14">
        <v>0</v>
      </c>
      <c r="M26" s="17" t="s">
        <v>1</v>
      </c>
      <c r="N26" s="17" t="s">
        <v>1</v>
      </c>
      <c r="O26" s="17" t="s">
        <v>1</v>
      </c>
      <c r="P26" s="18">
        <v>0</v>
      </c>
      <c r="Q26" s="6">
        <f ca="1">(BY26+CA14+CC14-CE26-CI26-CJ26-BH10-R26)</f>
        <v>12542.196362582305</v>
      </c>
      <c r="R26" s="6">
        <f ca="1">(AX12+AZ12+BB12+CD14)</f>
        <v>840</v>
      </c>
      <c r="S26" s="7">
        <f t="shared" ca="1" si="41"/>
        <v>13382.196362582305</v>
      </c>
      <c r="T26" s="44" t="s">
        <v>0</v>
      </c>
      <c r="U26" s="45" t="s">
        <v>0</v>
      </c>
      <c r="V26" s="45" t="s">
        <v>0</v>
      </c>
      <c r="W26" s="71"/>
      <c r="X26" s="65"/>
      <c r="Y26" s="47" t="s">
        <v>0</v>
      </c>
      <c r="Z26" s="51" t="s">
        <v>0</v>
      </c>
      <c r="AA26" s="54"/>
      <c r="AB26" s="55"/>
      <c r="AC26" s="57"/>
      <c r="AD26" s="56"/>
      <c r="AE26" s="39" t="s">
        <v>106</v>
      </c>
      <c r="AF26" s="21">
        <v>188.73</v>
      </c>
      <c r="AG26" s="21">
        <v>210.57</v>
      </c>
      <c r="AH26" s="21">
        <f>(AH25/12)</f>
        <v>399.35500000000002</v>
      </c>
      <c r="AI26" s="38" t="s">
        <v>0</v>
      </c>
      <c r="AJ26" s="38" t="s">
        <v>0</v>
      </c>
      <c r="AK26" s="38" t="s">
        <v>0</v>
      </c>
      <c r="AL26" s="38" t="s">
        <v>0</v>
      </c>
      <c r="AM26" s="21">
        <f t="shared" ref="AM26" ca="1" si="85">(AM25/12)</f>
        <v>0</v>
      </c>
      <c r="AN26" s="21">
        <f ca="1">(BG12*0.01*-1)</f>
        <v>-10.6547</v>
      </c>
      <c r="AO26" s="21">
        <f>(0)</f>
        <v>0</v>
      </c>
      <c r="AP26" s="21">
        <f ca="1">(BD12+BH12+AN26-AO26)</f>
        <v>1164.4494999999999</v>
      </c>
      <c r="AQ26" s="21">
        <f ca="1">(AP26*CP29*-1)</f>
        <v>-314.401365</v>
      </c>
      <c r="AR26" s="26">
        <v>30</v>
      </c>
      <c r="AS26" s="21">
        <f ca="1">(AT26/BJ10)</f>
        <v>982.19967042469534</v>
      </c>
      <c r="AT26" s="21">
        <f>(602/30*AR26)</f>
        <v>602</v>
      </c>
      <c r="AU26" s="21">
        <f>(0)</f>
        <v>0</v>
      </c>
      <c r="AV26" s="21">
        <f>(0)</f>
        <v>0</v>
      </c>
      <c r="AW26" s="21">
        <f>(0)</f>
        <v>0</v>
      </c>
      <c r="AX26" s="26">
        <v>30</v>
      </c>
      <c r="AY26" s="21">
        <f ca="1">(AZ26/BJ10)</f>
        <v>9352.2703170122859</v>
      </c>
      <c r="AZ26" s="21">
        <f>(AR12*AX26)</f>
        <v>5732.0999999999995</v>
      </c>
      <c r="BA26" s="21">
        <f>COUNTIF($A$1,"2S-Gişe Sorumlusu-Üniversite")*(5.4*L25)
+COUNTIF($A$1,"2S-Gişe Sorumlusu-MYO")*(5.4*L25)
+COUNTIF($A$1,"2S-Gişe Sorumlusu-Lise")*(5.4*L25)
+COUNTIF($A$1,"2S-Gişe Sorumlusu-Ortaokul")*(5.4*L25)
+COUNTIF($A$1,"2S-Gişe Sorumlusu-İlkokul")*(5.4*L25)
+COUNTIF($A$1,"2S-Gişe Görevlisi-Üniversite")*(5.4*L25)
+COUNTIF($A$1,"2S-Gişe Görevlisi-MYO")*(5.4*L25)
+COUNTIF($A$1,"2S-Gişe Görevlisi-Lise")*(5.4*L25)
+COUNTIF($A$1,"2S-Gişe Görevlisi-Ortaokul")*(5.4*L25)
+COUNTIF($A$1,"2S-Gişe Görevlisi-İlkokul")*(5.4*L25)</f>
        <v>0</v>
      </c>
      <c r="BB26" s="21">
        <f ca="1">(AZ16)</f>
        <v>0</v>
      </c>
      <c r="BC26" s="21">
        <f>COUNTIF($A$1,"2S-Gişe Sorumlusu-Üniversite")*(BN15)
+COUNTIF($A$1,"2S-Gişe Sorumlusu-MYO")*(BN15)
+COUNTIF($A$1,"2S-Gişe Sorumlusu-Lise")*(BN15)
+COUNTIF($A$1,"2S-Gişe Sorumlusu-Ortaokul")*(BN15)
+COUNTIF($A$1,"2S-Gişe Sorumlusu-İlkokul")*(BN15)
+COUNTIF($A$1,"2S-Gişe Görevlisi-Üniversite")*(BQ8)
+COUNTIF($A$1,"2S-Gişe Görevlisi-MYO")*(BQ8)
+COUNTIF($A$1,"2S-Gişe Görevlisi-Lise")*(BQ8)
+COUNTIF($A$1,"2S-Gişe Görevlisi-Ortaokul")*(BQ8)
+COUNTIF($A$1,"2S-Gişe Görevlisi-İlkokul")*(BQ8)
+COUNTIF($A$1,"2S-Terminal Görevlisi-Üniversite")*(BR8)
+COUNTIF($A$1,"2S-Terminal Görevlisi-MYO")*(BR8)
+COUNTIF($A$1,"2S-Terminal Görevlisi-Lise")*(BR8)
+COUNTIF($A$1,"2S-Terminal Görevlisi-Ortaokul")*(BR8)
+COUNTIF($A$1,"2S-Terminal Görevlisi-İlkokul")*(BR8)
+COUNTIF($A$1,"2S-İskele Görevlisi-Üniversite")*(BS8)
+COUNTIF($A$1,"2S-İskele Görevlisi-MYO")*(BS8)
+COUNTIF($A$1,"2S-İskele Görevlisi-Lise")*(BS8)
+COUNTIF($A$1,"2S-İskele Görevlisi-Ortaokul")*(BS8)
+COUNTIF($A$1,"2S-İskele Görevlisi-İlkokul")*(BS8)</f>
        <v>0</v>
      </c>
      <c r="BD26" s="21">
        <f ca="1">(BE26/CU20)</f>
        <v>0</v>
      </c>
      <c r="BE26" s="21">
        <f>COUNTIF($A$1,"2S-Gişe Sorumlusu-Üniversite")*(13.1*I17)
+COUNTIF($A$1,"2S-Gişe Sorumlusu-MYO")*(13.1*I17)
+COUNTIF($A$1,"2S-Gişe Sorumlusu-Lise")*(13.1*I17)
+COUNTIF($A$1,"2S-Gişe Sorumlusu-Ortaokul")*(13.1*I17)
+COUNTIF($A$1,"2S-Gişe Sorumlusu-İlkokul")*(13.1*I17)
+COUNTIF($A$1,"2S-Gişe Görevlisi-Üniversite")*(13.1*I17)
+COUNTIF($A$1,"2S-Gişe Görevlisi-MYO")*(13.1*I17)
+COUNTIF($A$1,"2S-Gişe Görevlisi-Lise")*(13.1*I17)
+COUNTIF($A$1,"2S-Gişe Görevlisi-Ortaokul")*(13.1*I17)
+COUNTIF($A$1,"2S-Gişe Görevlisi-İlkokul")*(13.1*I17)
+COUNTIF($A$1,"2S-Terminal Görevlisi-Üniversite")*(13.1*I17)
+COUNTIF($A$1,"2S-Terminal Görevlisi-MYO")*(13.1*I17)
+COUNTIF($A$1,"2S-Terminal Görevlisi-Lise")*(13.1*I17)
+COUNTIF($A$1,"2S-Terminal Görevlisi-Ortaokul")*(13.1*I17)
+COUNTIF($A$1,"2S-Terminal Görevlisi-İlkokul")*(13.1*I17)
+COUNTIF($A$1,"2S-İskele Görevlisi-Üniversite")*(13.1*I17)
+COUNTIF($A$1,"2S-İskele Görevlisi-MYO")*(13.1*I17)
+COUNTIF($A$1,"2S-İskele Görevlisi-Lise")*(13.1*I17)
+COUNTIF($A$1,"2S-İskele Görevlisi-Ortaokul")*(13.1*I17)
+COUNTIF($A$1,"2S-İskele Görevlisi-İlkokul")*(13.1*I17)</f>
        <v>0</v>
      </c>
      <c r="BF26" s="21">
        <f ca="1">(BC20/CU20)</f>
        <v>0</v>
      </c>
      <c r="BU26" s="39" t="s">
        <v>0</v>
      </c>
      <c r="BV26" s="39" t="s">
        <v>0</v>
      </c>
      <c r="BW26" s="21" t="s">
        <v>0</v>
      </c>
      <c r="BX26" s="21">
        <f ca="1">(AT12+AV12+AX12+AZ12+BB12+AT26+AZ26+BO2+AS17+AU17+AW17+AY17+BK22+BY14+CB14*CP29)</f>
        <v>13608.326082102778</v>
      </c>
      <c r="BY26" s="21">
        <f ca="1">(ROUND((BX26+CD26+CI26+CJ26+BH10),2))</f>
        <v>20182.009999999998</v>
      </c>
      <c r="BZ26" s="21">
        <f ca="1">(ROUND(BY26*0.00759,2))</f>
        <v>153.18</v>
      </c>
      <c r="CA26" s="21">
        <f>(CH14)</f>
        <v>6471</v>
      </c>
      <c r="CB26" s="21">
        <f>(CA26*0.00759)</f>
        <v>49.114890000000003</v>
      </c>
      <c r="CC26" s="21">
        <f ca="1">(BY26-CA26)</f>
        <v>13711.009999999998</v>
      </c>
      <c r="CD26" s="21">
        <f ca="1">(ROUND(CC26*0.00759,2))</f>
        <v>104.07</v>
      </c>
      <c r="CE26" s="21">
        <f ca="1">(CD26)</f>
        <v>104.07</v>
      </c>
      <c r="CF26" s="21">
        <f ca="1">(BF12+AV26+BL22+BX14)</f>
        <v>258.8</v>
      </c>
      <c r="CG26" s="21">
        <f ca="1">(BY26-CF26)</f>
        <v>19923.21</v>
      </c>
      <c r="CH26" s="21">
        <f ca="1">IF(CG26&gt;=CG14*7.5,CG14*7.5,CG26)</f>
        <v>19923.21</v>
      </c>
      <c r="CI26" s="21">
        <f ca="1">(ROUND(IF(CH26&gt;CG14*7.5,CG14*7.5*0.14,CH26*0.14),2))</f>
        <v>2789.25</v>
      </c>
      <c r="CJ26" s="21">
        <f ca="1">(ROUND(IF(CH26&gt;CG14*7.5,CG14*7.5*0.01,CH26*0.01),2))</f>
        <v>199.23</v>
      </c>
      <c r="CK26" s="21">
        <f ca="1">(BI20+AS23+BX11+CB11)</f>
        <v>220.5128754099778</v>
      </c>
      <c r="CL26" s="21">
        <f ca="1">(BY23-CI23-CJ23-CK26)</f>
        <v>16420.777124590019</v>
      </c>
      <c r="CM26" s="21">
        <f ca="1">SUM($CL$18:CL26)</f>
        <v>83501.063990234077</v>
      </c>
      <c r="CN26" s="30">
        <f t="shared" ca="1" si="61"/>
        <v>0.27</v>
      </c>
      <c r="CO26" s="33">
        <f t="shared" ca="1" si="70"/>
        <v>1</v>
      </c>
      <c r="CP26" s="35">
        <f t="shared" ca="1" si="62"/>
        <v>0.2575535781373674</v>
      </c>
      <c r="CQ26" s="21">
        <f t="shared" ca="1" si="79"/>
        <v>4229.2299999999996</v>
      </c>
      <c r="CR26" s="21">
        <f>(CY11)</f>
        <v>1100.07</v>
      </c>
      <c r="CS26" s="21">
        <f t="shared" ca="1" si="71"/>
        <v>3129.16</v>
      </c>
      <c r="CT26" s="35">
        <f t="shared" si="19"/>
        <v>0.84240999999999999</v>
      </c>
      <c r="CU26" s="35">
        <f t="shared" ca="1" si="72"/>
        <v>0.62348945858323779</v>
      </c>
      <c r="CV26" s="35">
        <f t="shared" ca="1" si="73"/>
        <v>0.73485642186263267</v>
      </c>
      <c r="CW26" s="21">
        <f ca="1">(BY23)</f>
        <v>19532.32</v>
      </c>
      <c r="CX26" s="21">
        <f t="shared" ca="1" si="74"/>
        <v>4004.1255999999998</v>
      </c>
      <c r="CY26" s="21">
        <f t="shared" ca="1" si="75"/>
        <v>195.32320000000001</v>
      </c>
      <c r="CZ26" s="21">
        <f t="shared" ca="1" si="76"/>
        <v>-976.61599999999999</v>
      </c>
      <c r="DA26" s="21">
        <f t="shared" ca="1" si="77"/>
        <v>22755.152799999996</v>
      </c>
      <c r="DC26" s="27">
        <v>24</v>
      </c>
      <c r="DD26" s="31">
        <v>12</v>
      </c>
      <c r="DE26" s="32">
        <v>0.26</v>
      </c>
      <c r="DF26" s="42"/>
    </row>
    <row r="27" spans="1:110" ht="39.950000000000003" customHeight="1" x14ac:dyDescent="0.25">
      <c r="A27" s="66" t="s">
        <v>57</v>
      </c>
      <c r="B27" s="67"/>
      <c r="C27" s="8" t="s">
        <v>0</v>
      </c>
      <c r="D27" s="9">
        <f>(D15+D16+D17+D18+D19+D20+D21+D22+D23+D24+D25+D26)</f>
        <v>0</v>
      </c>
      <c r="E27" s="9">
        <f>(E15+E16+E17+E18+E19+E20+E21+E22+E23+E24+E25+E26)</f>
        <v>0</v>
      </c>
      <c r="F27" s="10">
        <f>(F15+F16+F17+F18+F19+F20+F21+F22+F23+F24+F25+F26)</f>
        <v>240</v>
      </c>
      <c r="G27" s="8" t="s">
        <v>0</v>
      </c>
      <c r="H27" s="10">
        <f>(H15+H16+H17+H18+H19+H20+H21+H22+H23+H24+H25+H26)</f>
        <v>0</v>
      </c>
      <c r="I27" s="10">
        <f>(I15+I16+I17+I18+I19+I20+I21+I22+I23+I24+I25+I26)</f>
        <v>0</v>
      </c>
      <c r="J27" s="10">
        <f>(J15+J16+J17+J18+J19+J20+J21+J22+J23+J24+J25+J26)</f>
        <v>0</v>
      </c>
      <c r="K27" s="10">
        <f>(K15+K16+K17+K18+K19+K20+K21+K22+K23+K24+K25+K26)</f>
        <v>0</v>
      </c>
      <c r="L27" s="10">
        <f>(L15+L16+L17+L18+L19+L20+L21+L22+L23+L24+L25+L26)</f>
        <v>0</v>
      </c>
      <c r="M27" s="8" t="s">
        <v>0</v>
      </c>
      <c r="N27" s="8" t="s">
        <v>0</v>
      </c>
      <c r="O27" s="8" t="s">
        <v>0</v>
      </c>
      <c r="P27" s="4" t="s">
        <v>0</v>
      </c>
      <c r="Q27" s="11">
        <f t="shared" ref="Q27" ca="1" si="86">(Q15+Q16+Q17+Q18+Q19+Q20+Q21+Q22+Q23+Q24+Q25+Q26)</f>
        <v>92290.457560384093</v>
      </c>
      <c r="R27" s="11">
        <f t="shared" ref="R27" ca="1" si="87">(R15+R16+R17+R18+R19+R20+R21+R22+R23+R24+R25+R26)</f>
        <v>10080</v>
      </c>
      <c r="S27" s="12">
        <f t="shared" ref="S27" ca="1" si="88">(S15+S16+S17+S18+S19+S20+S21+S22+S23+S24+S25+S26)</f>
        <v>102370.45756038409</v>
      </c>
      <c r="T27" s="44" t="s">
        <v>0</v>
      </c>
      <c r="U27" s="45" t="s">
        <v>0</v>
      </c>
      <c r="V27" s="45" t="s">
        <v>0</v>
      </c>
      <c r="W27" s="71"/>
      <c r="X27" s="65"/>
      <c r="Y27" s="47" t="s">
        <v>0</v>
      </c>
      <c r="Z27" s="51" t="s">
        <v>0</v>
      </c>
      <c r="AA27" s="54"/>
      <c r="AB27" s="55"/>
      <c r="AC27" s="57"/>
      <c r="AD27" s="56"/>
      <c r="AE27" s="39" t="s">
        <v>107</v>
      </c>
      <c r="AF27" s="21">
        <v>185.62</v>
      </c>
      <c r="AG27" s="21">
        <v>209.57</v>
      </c>
      <c r="AH27" s="21">
        <f t="shared" ref="AH27:AM27" si="89">(AR13+AR14+AR15+BC1+BC2+BC3+AH8+AH9+AH10+AH24+BC11+BC12)</f>
        <v>10080</v>
      </c>
      <c r="AI27" s="21">
        <f t="shared" ca="1" si="89"/>
        <v>14649.090000000002</v>
      </c>
      <c r="AJ27" s="21">
        <f t="shared" ca="1" si="89"/>
        <v>-111.18659309999998</v>
      </c>
      <c r="AK27" s="21">
        <f t="shared" si="89"/>
        <v>2754.0000000000005</v>
      </c>
      <c r="AL27" s="21">
        <f t="shared" ca="1" si="89"/>
        <v>11895.089999999997</v>
      </c>
      <c r="AM27" s="21">
        <f t="shared" ca="1" si="89"/>
        <v>-1665.3126</v>
      </c>
      <c r="AN27" s="21">
        <f ca="1">(AX13+AX14+AX15+BI1+BI2+BI3+AN8+AN9+AN10+AN24+AN25+AN26)</f>
        <v>-118.9509</v>
      </c>
      <c r="AO27" s="21">
        <f>(AY13+AY14+AY15+BJ1+BJ2+BJ3+BI18+BI19+BI20+AO24+AO25+AO26)</f>
        <v>0</v>
      </c>
      <c r="AP27" s="21">
        <f ca="1">(AZ13+AZ14+AZ15+BK1+BK2+BK3+BJ18+BJ19+BJ20+AP24+AP25+AP26)</f>
        <v>12864.826500000001</v>
      </c>
      <c r="AQ27" s="21">
        <f ca="1">(BA13+BA14+BA15+BL1+BL2+BL3+BK18+BK19+BK20+AQ24+AQ25+AQ26)</f>
        <v>-2673.6429384914086</v>
      </c>
      <c r="AR27" s="26">
        <f>(BB13+BB14+BB15+BT7+BT8+BT9+BT10+BT11+BT12+AR24+AR25+AR26)</f>
        <v>360</v>
      </c>
      <c r="AS27" s="21">
        <f ca="1">(BC13+BC14+BC15+BN16+AH4+AH5+AH6+AH7+BI21+AS24+AS25+AS26)</f>
        <v>10064.954541612369</v>
      </c>
      <c r="AT27" s="21">
        <f>(BD13+BD14+BD15+BO16+AI4+AI5+AI6+AI7+BJ21+AT24+AT25+AT26)</f>
        <v>6662.18</v>
      </c>
      <c r="AU27" s="21">
        <f>(BE13+BE14+BE15+BP16+AJ4+AJ5+AJ6+AJ7+BK21+AU24+AU25+AU26)</f>
        <v>0</v>
      </c>
      <c r="AV27" s="21">
        <f>(BF13+BF14+BF15+BC22+AK4+AK5+AK6+AK7+AR23+AV24+AV25+AV26)</f>
        <v>0</v>
      </c>
      <c r="AW27" s="21">
        <f>(BG13+BG14+BG15+BD22+AL4+AL5+AL6+AL7+AS23+AW24+AW25+AW26)</f>
        <v>0</v>
      </c>
      <c r="AX27" s="38" t="s">
        <v>0</v>
      </c>
      <c r="AY27" s="21">
        <f ca="1">(BI13+BI14+BI15+BF22+AN4+AN5+AN6+AN7+AU23+AY24+AY25+AY26)</f>
        <v>31489.404541588112</v>
      </c>
      <c r="AZ27" s="21">
        <f>(BJ13+BJ14+BJ15+BG22+AO4+AO5+AO6+AO7+AV23+AZ24+AZ25+AZ26)</f>
        <v>20434.199999999997</v>
      </c>
      <c r="BA27" s="26">
        <f>(BK13+BK14+BK15+BH22+AP4+AP5+AP6+AP7+AW23+BA24+BM1+BM2)</f>
        <v>360</v>
      </c>
      <c r="BB27" s="21">
        <f ca="1">(BL13+BL14+BL15+BI22+AQ4+AQ5+AQ6+AQ7+AX23+BB24+BN1+BN2)</f>
        <v>7244.8756015491217</v>
      </c>
      <c r="BC27" s="21">
        <f>COUNTIF($A$1,"2S-Gişe Sorumlusu-Üniversite")*(BS10)
+COUNTIF($A$1,"2S-Gişe Sorumlusu-MYO")*(BS10)
+COUNTIF($A$1,"2S-Gişe Sorumlusu-Lise")*(BS10)
+COUNTIF($A$1,"2S-Gişe Sorumlusu-Ortaokul")*(BS10)
+COUNTIF($A$1,"2S-Gişe Sorumlusu-İlkokul")*(BS10)
+COUNTIF($A$1,"2S-Gişe Görevlisi-Üniversite")*(BQ9)
+COUNTIF($A$1,"2S-Gişe Görevlisi-MYO")*(BQ9)
+COUNTIF($A$1,"2S-Gişe Görevlisi-Lise")*(BQ9)
+COUNTIF($A$1,"2S-Gişe Görevlisi-Ortaokul")*(BQ9)
+COUNTIF($A$1,"2S-Gişe Görevlisi-İlkokul")*(BQ9)
+COUNTIF($A$1,"2S-Terminal Görevlisi-Üniversite")*(BR9)
+COUNTIF($A$1,"2S-Terminal Görevlisi-MYO")*(BR9)
+COUNTIF($A$1,"2S-Terminal Görevlisi-Lise")*(BR9)
+COUNTIF($A$1,"2S-Terminal Görevlisi-Ortaokul")*(BR9)
+COUNTIF($A$1,"2S-Terminal Görevlisi-İlkokul")*(BR9)
+COUNTIF($A$1,"2S-İskele Görevlisi-Üniversite")*(BS9)
+COUNTIF($A$1,"2S-İskele Görevlisi-MYO")*(BS9)
+COUNTIF($A$1,"2S-İskele Görevlisi-Lise")*(BS9)
+COUNTIF($A$1,"2S-İskele Görevlisi-Ortaokul")*(BS9)
+COUNTIF($A$1,"2S-İskele Görevlisi-İlkokul")*(BS9)</f>
        <v>0</v>
      </c>
      <c r="BD27" s="21">
        <f ca="1">(BE27/CU21)</f>
        <v>0</v>
      </c>
      <c r="BE27" s="21">
        <f>COUNTIF($A$1,"2S-Gişe Sorumlusu-Üniversite")*(13.1*I18)
+COUNTIF($A$1,"2S-Gişe Sorumlusu-MYO")*(13.1*I18)
+COUNTIF($A$1,"2S-Gişe Sorumlusu-Lise")*(13.1*I18)
+COUNTIF($A$1,"2S-Gişe Sorumlusu-Ortaokul")*(13.1*I18)
+COUNTIF($A$1,"2S-Gişe Sorumlusu-İlkokul")*(13.1*I18)
+COUNTIF($A$1,"2S-Gişe Görevlisi-Üniversite")*(13.1*I18)
+COUNTIF($A$1,"2S-Gişe Görevlisi-MYO")*(13.1*I18)
+COUNTIF($A$1,"2S-Gişe Görevlisi-Lise")*(13.1*I18)
+COUNTIF($A$1,"2S-Gişe Görevlisi-Ortaokul")*(13.1*I18)
+COUNTIF($A$1,"2S-Gişe Görevlisi-İlkokul")*(13.1*I18)
+COUNTIF($A$1,"2S-Terminal Görevlisi-Üniversite")*(13.1*I18)
+COUNTIF($A$1,"2S-Terminal Görevlisi-MYO")*(13.1*I18)
+COUNTIF($A$1,"2S-Terminal Görevlisi-Lise")*(13.1*I18)
+COUNTIF($A$1,"2S-Terminal Görevlisi-Ortaokul")*(13.1*I18)
+COUNTIF($A$1,"2S-Terminal Görevlisi-İlkokul")*(13.1*I18)
+COUNTIF($A$1,"2S-İskele Görevlisi-Üniversite")*(13.1*I18)
+COUNTIF($A$1,"2S-İskele Görevlisi-MYO")*(13.1*I18)
+COUNTIF($A$1,"2S-İskele Görevlisi-Lise")*(13.1*I18)
+COUNTIF($A$1,"2S-İskele Görevlisi-Ortaokul")*(13.1*I18)
+COUNTIF($A$1,"2S-İskele Görevlisi-İlkokul")*(13.1*I18)</f>
        <v>0</v>
      </c>
      <c r="BF27" s="21">
        <f ca="1">(BC21/CU21)</f>
        <v>0</v>
      </c>
      <c r="BU27" s="39" t="s">
        <v>0</v>
      </c>
      <c r="BV27" s="39" t="s">
        <v>0</v>
      </c>
      <c r="BW27" s="29" t="s">
        <v>0</v>
      </c>
      <c r="BX27" s="21">
        <f t="shared" ref="BX27:CJ27" ca="1" si="90">(BX18+BX19+BX20+BX21+AU8+AU9+AU10+BX22+BX23+BX24+BX25+BX26)</f>
        <v>104671.7557678397</v>
      </c>
      <c r="BY27" s="21">
        <f t="shared" ca="1" si="90"/>
        <v>141328.74</v>
      </c>
      <c r="BZ27" s="21">
        <f t="shared" ca="1" si="90"/>
        <v>1072.69</v>
      </c>
      <c r="CA27" s="21">
        <f t="shared" si="90"/>
        <v>68850</v>
      </c>
      <c r="CB27" s="21">
        <f t="shared" si="90"/>
        <v>522.57150000000001</v>
      </c>
      <c r="CC27" s="21">
        <f t="shared" ca="1" si="90"/>
        <v>72478.739999999991</v>
      </c>
      <c r="CD27" s="21">
        <f t="shared" ca="1" si="90"/>
        <v>550.11999999999989</v>
      </c>
      <c r="CE27" s="21">
        <f t="shared" ca="1" si="90"/>
        <v>550.11999999999989</v>
      </c>
      <c r="CF27" s="21">
        <f t="shared" ca="1" si="90"/>
        <v>2754.0000000000005</v>
      </c>
      <c r="CG27" s="21">
        <f t="shared" ca="1" si="90"/>
        <v>138574.74000000002</v>
      </c>
      <c r="CH27" s="21">
        <f t="shared" ca="1" si="90"/>
        <v>138574.74000000002</v>
      </c>
      <c r="CI27" s="21">
        <f t="shared" ca="1" si="90"/>
        <v>19400.47</v>
      </c>
      <c r="CJ27" s="21">
        <f t="shared" ca="1" si="90"/>
        <v>1385.75</v>
      </c>
      <c r="CK27" s="21">
        <f ca="1">(AO24+AW24+BX12+CB12)</f>
        <v>226.13363741769172</v>
      </c>
      <c r="CL27" s="21">
        <f ca="1">(BY24-CI24-CJ24-CK27)</f>
        <v>9017.9563625823084</v>
      </c>
      <c r="CM27" s="21">
        <f ca="1">SUM($CL$18:CL27)</f>
        <v>92519.020352816384</v>
      </c>
      <c r="CN27" s="30">
        <f t="shared" ca="1" si="61"/>
        <v>0.27</v>
      </c>
      <c r="CO27" s="33">
        <f t="shared" ca="1" si="70"/>
        <v>0</v>
      </c>
      <c r="CP27" s="35">
        <f t="shared" ca="1" si="62"/>
        <v>0.27</v>
      </c>
      <c r="CQ27" s="21">
        <f t="shared" ca="1" si="79"/>
        <v>2434.85</v>
      </c>
      <c r="CR27" s="21">
        <f>(CY12)</f>
        <v>1100.07</v>
      </c>
      <c r="DC27" s="27">
        <v>25</v>
      </c>
      <c r="DD27" s="31">
        <v>12.5</v>
      </c>
      <c r="DE27" s="32">
        <v>0.27</v>
      </c>
      <c r="DF27" s="42"/>
    </row>
    <row r="28" spans="1:110" ht="39.950000000000003" customHeight="1" x14ac:dyDescent="0.25">
      <c r="A28" s="66" t="s">
        <v>58</v>
      </c>
      <c r="B28" s="67"/>
      <c r="C28" s="8" t="s">
        <v>0</v>
      </c>
      <c r="D28" s="10" t="s">
        <v>0</v>
      </c>
      <c r="E28" s="8" t="s">
        <v>0</v>
      </c>
      <c r="F28" s="8" t="s">
        <v>0</v>
      </c>
      <c r="G28" s="8" t="s">
        <v>0</v>
      </c>
      <c r="H28" s="8" t="s">
        <v>0</v>
      </c>
      <c r="I28" s="8" t="s">
        <v>0</v>
      </c>
      <c r="J28" s="8" t="s">
        <v>0</v>
      </c>
      <c r="K28" s="8" t="s">
        <v>0</v>
      </c>
      <c r="L28" s="8" t="s">
        <v>0</v>
      </c>
      <c r="M28" s="8" t="s">
        <v>0</v>
      </c>
      <c r="N28" s="8" t="s">
        <v>0</v>
      </c>
      <c r="O28" s="8" t="s">
        <v>0</v>
      </c>
      <c r="P28" s="8" t="s">
        <v>0</v>
      </c>
      <c r="Q28" s="11">
        <f ca="1">(Q27/12)</f>
        <v>7690.8714633653408</v>
      </c>
      <c r="R28" s="11">
        <f ca="1">(R27/12)</f>
        <v>840</v>
      </c>
      <c r="S28" s="12">
        <f ca="1">(S27/12)</f>
        <v>8530.8714633653417</v>
      </c>
      <c r="T28" s="44" t="s">
        <v>0</v>
      </c>
      <c r="U28" s="45" t="s">
        <v>0</v>
      </c>
      <c r="V28" s="45" t="s">
        <v>0</v>
      </c>
      <c r="W28" s="71"/>
      <c r="X28" s="65"/>
      <c r="Y28" s="47" t="s">
        <v>0</v>
      </c>
      <c r="Z28" s="51" t="s">
        <v>0</v>
      </c>
      <c r="AA28" s="54"/>
      <c r="AB28" s="62"/>
      <c r="AC28" s="63"/>
      <c r="AD28" s="64"/>
      <c r="AE28" s="39" t="s">
        <v>108</v>
      </c>
      <c r="AF28" s="21">
        <v>182.45</v>
      </c>
      <c r="AG28" s="21">
        <v>208.57</v>
      </c>
      <c r="AH28" s="21">
        <f t="shared" ref="AH28:AQ28" si="91">(AH27/12)</f>
        <v>840</v>
      </c>
      <c r="AI28" s="21">
        <f t="shared" ca="1" si="91"/>
        <v>1220.7575000000002</v>
      </c>
      <c r="AJ28" s="21">
        <f t="shared" ca="1" si="91"/>
        <v>-9.2655494249999979</v>
      </c>
      <c r="AK28" s="21">
        <f t="shared" si="91"/>
        <v>229.50000000000003</v>
      </c>
      <c r="AL28" s="21">
        <f t="shared" ca="1" si="91"/>
        <v>991.25749999999971</v>
      </c>
      <c r="AM28" s="21">
        <f t="shared" ca="1" si="91"/>
        <v>-138.77605</v>
      </c>
      <c r="AN28" s="21">
        <f t="shared" ca="1" si="91"/>
        <v>-9.9125750000000004</v>
      </c>
      <c r="AO28" s="21">
        <f t="shared" si="91"/>
        <v>0</v>
      </c>
      <c r="AP28" s="21">
        <f t="shared" ca="1" si="91"/>
        <v>1072.0688750000002</v>
      </c>
      <c r="AQ28" s="21">
        <f t="shared" ca="1" si="91"/>
        <v>-222.80357820761739</v>
      </c>
      <c r="AR28" s="38" t="s">
        <v>0</v>
      </c>
      <c r="AS28" s="21">
        <f t="shared" ref="AS28:AW28" ca="1" si="92">(AS27/12)</f>
        <v>838.74621180103077</v>
      </c>
      <c r="AT28" s="21">
        <f t="shared" si="92"/>
        <v>555.18166666666673</v>
      </c>
      <c r="AU28" s="21">
        <f t="shared" si="92"/>
        <v>0</v>
      </c>
      <c r="AV28" s="21">
        <f t="shared" si="92"/>
        <v>0</v>
      </c>
      <c r="AW28" s="21">
        <f t="shared" si="92"/>
        <v>0</v>
      </c>
      <c r="AX28" s="38" t="s">
        <v>0</v>
      </c>
      <c r="AY28" s="21">
        <f t="shared" ref="AY28:AZ28" ca="1" si="93">(AY27/12)</f>
        <v>2624.1170451323428</v>
      </c>
      <c r="AZ28" s="21">
        <f t="shared" si="93"/>
        <v>1702.8499999999997</v>
      </c>
      <c r="BA28" s="38" t="s">
        <v>0</v>
      </c>
      <c r="BB28" s="21">
        <f t="shared" ref="BB28" ca="1" si="94">(BB27/12)</f>
        <v>603.73963346242681</v>
      </c>
      <c r="BU28" s="39" t="s">
        <v>0</v>
      </c>
      <c r="BV28" s="39" t="s">
        <v>0</v>
      </c>
      <c r="BW28" s="21" t="s">
        <v>0</v>
      </c>
      <c r="BX28" s="21">
        <f t="shared" ref="BX28" ca="1" si="95">(BX27/12)</f>
        <v>8722.646313986641</v>
      </c>
      <c r="BY28" s="21">
        <f t="shared" ref="BY28" ca="1" si="96">(BY27/12)</f>
        <v>11777.394999999999</v>
      </c>
      <c r="BZ28" s="21">
        <f t="shared" ref="BZ28" ca="1" si="97">(BZ27/12)</f>
        <v>89.390833333333333</v>
      </c>
      <c r="CA28" s="21">
        <f t="shared" ref="CA28" si="98">(CA27/12)</f>
        <v>5737.5</v>
      </c>
      <c r="CB28" s="21">
        <f t="shared" ref="CB28" si="99">(CB27/12)</f>
        <v>43.547625000000004</v>
      </c>
      <c r="CC28" s="21">
        <f t="shared" ref="CC28" ca="1" si="100">(CC27/12)</f>
        <v>6039.8949999999995</v>
      </c>
      <c r="CD28" s="21">
        <f t="shared" ref="CD28" ca="1" si="101">(CD27/12)</f>
        <v>45.843333333333327</v>
      </c>
      <c r="CE28" s="21">
        <f t="shared" ref="CE28" ca="1" si="102">(CE27/12)</f>
        <v>45.843333333333327</v>
      </c>
      <c r="CF28" s="21">
        <f t="shared" ref="CF28" ca="1" si="103">(CF27/12)</f>
        <v>229.50000000000003</v>
      </c>
      <c r="CG28" s="21">
        <f t="shared" ref="CG28" ca="1" si="104">(CG27/12)</f>
        <v>11547.895000000002</v>
      </c>
      <c r="CH28" s="21">
        <f t="shared" ref="CH28" ca="1" si="105">(CH27/12)</f>
        <v>11547.895000000002</v>
      </c>
      <c r="CI28" s="21">
        <f t="shared" ref="CI28" ca="1" si="106">(CI27/12)</f>
        <v>1616.7058333333334</v>
      </c>
      <c r="CJ28" s="21">
        <f t="shared" ref="CJ28" ca="1" si="107">(CJ27/12)</f>
        <v>115.47916666666667</v>
      </c>
      <c r="CK28" s="21">
        <f ca="1">(AO25+AW25+BX13+CB13)</f>
        <v>224.31915501460253</v>
      </c>
      <c r="CL28" s="21">
        <f ca="1">(BY25-CI25-CJ25-CK28)</f>
        <v>8754.8008449853969</v>
      </c>
      <c r="CM28" s="21">
        <f ca="1">SUM($CL$18:CL28)</f>
        <v>101273.82119780178</v>
      </c>
      <c r="CN28" s="30">
        <f t="shared" ca="1" si="61"/>
        <v>0.27</v>
      </c>
      <c r="CO28" s="33">
        <f t="shared" ca="1" si="70"/>
        <v>0</v>
      </c>
      <c r="CP28" s="35">
        <f t="shared" ca="1" si="62"/>
        <v>0.27</v>
      </c>
      <c r="CQ28" s="21">
        <f t="shared" ca="1" si="79"/>
        <v>2363.8000000000002</v>
      </c>
      <c r="CR28" s="21">
        <f>(CY13)</f>
        <v>1100.07</v>
      </c>
      <c r="DC28" s="27">
        <v>26</v>
      </c>
      <c r="DD28" s="31">
        <v>13</v>
      </c>
      <c r="DE28" s="32">
        <v>0.28000000000000003</v>
      </c>
      <c r="DF28" s="43"/>
    </row>
    <row r="29" spans="1:110" ht="39.950000000000003" hidden="1" customHeight="1" x14ac:dyDescent="0.25">
      <c r="AE29" s="20" t="s">
        <v>109</v>
      </c>
      <c r="AF29" s="21">
        <v>168.11</v>
      </c>
      <c r="AG29" s="21">
        <v>207.57</v>
      </c>
      <c r="BU29" s="20"/>
      <c r="BV29" s="20"/>
      <c r="CK29" s="21">
        <f ca="1">(AO26+AW26+BX14+CB14)</f>
        <v>226.13363741769172</v>
      </c>
      <c r="CL29" s="21">
        <f ca="1">(BY26-CI26-CJ26-CK29)</f>
        <v>16967.396362582309</v>
      </c>
      <c r="CM29" s="21">
        <f ca="1">SUM($CL$18:CL29)</f>
        <v>118241.21756038409</v>
      </c>
      <c r="CN29" s="30">
        <f t="shared" ca="1" si="61"/>
        <v>0.27</v>
      </c>
      <c r="CO29" s="33">
        <f t="shared" ca="1" si="70"/>
        <v>0</v>
      </c>
      <c r="CP29" s="35">
        <f t="shared" ca="1" si="62"/>
        <v>0.27</v>
      </c>
      <c r="CQ29" s="21">
        <f t="shared" ca="1" si="79"/>
        <v>4581.2</v>
      </c>
      <c r="CR29" s="21">
        <f>(CY14)</f>
        <v>1100.07</v>
      </c>
      <c r="DC29" s="27">
        <v>27</v>
      </c>
      <c r="DD29" s="31">
        <v>13.5</v>
      </c>
      <c r="DE29" s="32">
        <v>0.28999999999999998</v>
      </c>
    </row>
    <row r="30" spans="1:110" ht="39.950000000000003" hidden="1" customHeight="1" x14ac:dyDescent="0.25">
      <c r="AE30" s="20" t="s">
        <v>110</v>
      </c>
      <c r="AF30" s="21">
        <v>165</v>
      </c>
      <c r="AG30" s="21">
        <v>206.57</v>
      </c>
      <c r="BU30" s="20"/>
      <c r="BV30" s="20"/>
      <c r="CK30" s="21">
        <f t="shared" ref="CK30" ca="1" si="108">(CK18+CK19+CK20+CK21+CK22+CK23+CK24+CK25+CK26+CK27+CK28+CK29)</f>
        <v>2301.3024396158949</v>
      </c>
      <c r="CL30" s="21">
        <f t="shared" ref="CL30" ca="1" si="109">(CL18+CL19+CL20+CL21+CL22+CL23+CL24+CL25+CL26+CL27+CL28+CL29)</f>
        <v>118241.21756038409</v>
      </c>
      <c r="CM30" s="38" t="s">
        <v>0</v>
      </c>
      <c r="CN30" s="27" t="s">
        <v>0</v>
      </c>
      <c r="CO30" s="27" t="s">
        <v>0</v>
      </c>
      <c r="CP30" s="27" t="s">
        <v>0</v>
      </c>
      <c r="CQ30" s="21">
        <f t="shared" ref="CQ30" ca="1" si="110">(CQ18+CQ19+CQ20+CQ21+CQ22+CQ23+CQ24+CQ25+CQ26+CQ27+CQ28+CQ29)</f>
        <v>25425.14</v>
      </c>
      <c r="CR30" s="21">
        <f t="shared" ref="CR30" si="111">(CR18+CR19+CR20+CR21+CR22+CR23+CR24+CR25+CR26+CR27+CR28+CR29)</f>
        <v>10104.5</v>
      </c>
      <c r="CS30" s="21">
        <f ca="1">(CS18+CS19+CS20+CS21+CS22+CS23+CS24+CS25+CS26+BH8+BH9+BH10)</f>
        <v>15320.64</v>
      </c>
      <c r="CT30" s="27" t="s">
        <v>0</v>
      </c>
      <c r="CU30" s="27" t="s">
        <v>0</v>
      </c>
      <c r="CV30" s="27" t="s">
        <v>0</v>
      </c>
      <c r="CW30" s="21">
        <f ca="1">(CW18+CW19+CW20+CW21+CW22+CW23+CW24+CW25+CW26+BL8+BL9+BL10)</f>
        <v>141328.74</v>
      </c>
      <c r="CX30" s="21">
        <f ca="1">(CX18+CX19+CX20+CX21+CX22+CX23+CX24+CX25+CX26+BM7+BM8+BM9)</f>
        <v>28972.391699999996</v>
      </c>
      <c r="CY30" s="21">
        <f ca="1">(CY18+CY19+CY20+CY21+CY22+CY23+CY24+CY25+CY26+BN7+BN8+BN9)</f>
        <v>1413.2874000000002</v>
      </c>
      <c r="CZ30" s="21">
        <f ca="1">(CZ18+CZ19+CZ20+CZ21+CZ22+CZ23+CZ24+CZ25+CZ26+BO7+BO8+BO9)</f>
        <v>-7066.4369999999999</v>
      </c>
      <c r="DA30" s="21">
        <f ca="1">(DA18+DA19+DA20+DA21+DA22+DA23+DA24+DA25+DA26+BP7+BP8+BP9)</f>
        <v>164647.98209999999</v>
      </c>
      <c r="DC30" s="27">
        <v>28</v>
      </c>
      <c r="DD30" s="31">
        <v>14</v>
      </c>
      <c r="DE30" s="32">
        <v>0.3</v>
      </c>
    </row>
    <row r="31" spans="1:110" ht="39.950000000000003" hidden="1" customHeight="1" x14ac:dyDescent="0.25">
      <c r="AE31" s="20" t="s">
        <v>111</v>
      </c>
      <c r="AF31" s="21">
        <v>169</v>
      </c>
      <c r="AG31" s="21">
        <v>210.57</v>
      </c>
      <c r="BU31" s="20"/>
      <c r="BV31" s="20"/>
      <c r="CK31" s="21">
        <f t="shared" ref="CK31" ca="1" si="112">(CK30/12)</f>
        <v>191.77520330132458</v>
      </c>
      <c r="CL31" s="21">
        <f t="shared" ref="CL31" ca="1" si="113">(CL30/12)</f>
        <v>9853.4347966986734</v>
      </c>
      <c r="CM31" s="38" t="s">
        <v>0</v>
      </c>
      <c r="CN31" s="38" t="s">
        <v>0</v>
      </c>
      <c r="CO31" s="38" t="s">
        <v>0</v>
      </c>
      <c r="CP31" s="38" t="s">
        <v>0</v>
      </c>
      <c r="CQ31" s="21">
        <f t="shared" ref="CQ31" ca="1" si="114">(CQ30/12)</f>
        <v>2118.7616666666668</v>
      </c>
      <c r="CR31" s="21">
        <f t="shared" ref="CR31" si="115">(CR30/12)</f>
        <v>842.04166666666663</v>
      </c>
      <c r="CS31" s="21">
        <f t="shared" ref="CS31" ca="1" si="116">(CS30/12)</f>
        <v>1276.72</v>
      </c>
      <c r="CT31" s="38" t="s">
        <v>0</v>
      </c>
      <c r="CU31" s="38" t="s">
        <v>0</v>
      </c>
      <c r="CV31" s="38" t="s">
        <v>0</v>
      </c>
      <c r="CW31" s="21">
        <f t="shared" ref="CW31" ca="1" si="117">(CW30/12)</f>
        <v>11777.394999999999</v>
      </c>
      <c r="CX31" s="21">
        <f t="shared" ref="CX31" ca="1" si="118">(CX30/12)</f>
        <v>2414.3659749999997</v>
      </c>
      <c r="CY31" s="21">
        <f t="shared" ref="CY31" ca="1" si="119">(CY30/12)</f>
        <v>117.77395000000001</v>
      </c>
      <c r="CZ31" s="21">
        <f t="shared" ref="CZ31" ca="1" si="120">(CZ30/12)</f>
        <v>-588.86974999999995</v>
      </c>
      <c r="DA31" s="21">
        <f t="shared" ref="DA31" ca="1" si="121">(DA30/12)</f>
        <v>13720.665175</v>
      </c>
      <c r="DC31" s="27">
        <v>29</v>
      </c>
      <c r="DD31" s="31">
        <v>14.5</v>
      </c>
      <c r="DE31" s="32">
        <v>0.31</v>
      </c>
    </row>
    <row r="32" spans="1:110" ht="39.950000000000003" hidden="1" customHeight="1" x14ac:dyDescent="0.25">
      <c r="AE32" s="20" t="s">
        <v>112</v>
      </c>
      <c r="AF32" s="21">
        <v>168</v>
      </c>
      <c r="AG32" s="21">
        <v>209.57</v>
      </c>
      <c r="BU32" s="20"/>
      <c r="BV32" s="20"/>
      <c r="DC32" s="27">
        <v>30</v>
      </c>
      <c r="DD32" s="31">
        <v>15</v>
      </c>
      <c r="DE32" s="32">
        <v>0.32</v>
      </c>
    </row>
    <row r="33" spans="31:109" ht="39.950000000000003" hidden="1" customHeight="1" x14ac:dyDescent="0.25">
      <c r="AE33" s="20" t="s">
        <v>113</v>
      </c>
      <c r="AF33" s="21">
        <v>167</v>
      </c>
      <c r="AG33" s="21">
        <v>208.57</v>
      </c>
      <c r="BU33" s="20"/>
      <c r="BV33" s="20"/>
      <c r="DC33" s="27">
        <v>31</v>
      </c>
      <c r="DD33" s="31">
        <v>15.5</v>
      </c>
      <c r="DE33" s="32">
        <v>0.33</v>
      </c>
    </row>
    <row r="34" spans="31:109" ht="39.950000000000003" hidden="1" customHeight="1" x14ac:dyDescent="0.25">
      <c r="AE34" s="20" t="s">
        <v>114</v>
      </c>
      <c r="AF34" s="21">
        <v>166</v>
      </c>
      <c r="AG34" s="21">
        <v>207.57</v>
      </c>
      <c r="BU34" s="20"/>
      <c r="BV34" s="20"/>
      <c r="DC34" s="27">
        <v>32</v>
      </c>
      <c r="DD34" s="31">
        <v>16</v>
      </c>
      <c r="DE34" s="32">
        <v>0.34</v>
      </c>
    </row>
    <row r="35" spans="31:109" ht="39.950000000000003" hidden="1" customHeight="1" x14ac:dyDescent="0.25">
      <c r="AE35" s="20" t="s">
        <v>115</v>
      </c>
      <c r="AF35" s="21">
        <v>165</v>
      </c>
      <c r="AG35" s="21">
        <v>206.57</v>
      </c>
      <c r="BU35" s="20"/>
      <c r="BV35" s="20"/>
      <c r="DC35" s="27">
        <v>33</v>
      </c>
      <c r="DD35" s="31">
        <v>16.5</v>
      </c>
      <c r="DE35" s="32">
        <v>0.35</v>
      </c>
    </row>
    <row r="36" spans="31:109" ht="39.950000000000003" hidden="1" customHeight="1" x14ac:dyDescent="0.25">
      <c r="AE36" s="20" t="s">
        <v>116</v>
      </c>
      <c r="AF36" s="21">
        <v>169</v>
      </c>
      <c r="AG36" s="21">
        <v>210.57</v>
      </c>
      <c r="BU36" s="20"/>
      <c r="BV36" s="20"/>
      <c r="DC36" s="27">
        <v>34</v>
      </c>
      <c r="DD36" s="31">
        <v>17</v>
      </c>
      <c r="DE36" s="32">
        <v>0.36</v>
      </c>
    </row>
    <row r="37" spans="31:109" ht="39.950000000000003" hidden="1" customHeight="1" x14ac:dyDescent="0.25">
      <c r="AE37" s="20" t="s">
        <v>117</v>
      </c>
      <c r="AF37" s="21">
        <v>168</v>
      </c>
      <c r="AG37" s="21">
        <v>209.57</v>
      </c>
      <c r="BU37" s="20"/>
      <c r="BV37" s="20"/>
      <c r="DC37" s="27">
        <v>35</v>
      </c>
      <c r="DD37" s="31">
        <v>17.5</v>
      </c>
      <c r="DE37" s="32">
        <v>0.37</v>
      </c>
    </row>
    <row r="38" spans="31:109" ht="39.950000000000003" hidden="1" customHeight="1" x14ac:dyDescent="0.25">
      <c r="AE38" s="20" t="s">
        <v>118</v>
      </c>
      <c r="AF38" s="21">
        <v>167</v>
      </c>
      <c r="AG38" s="21">
        <v>208.57</v>
      </c>
      <c r="BU38" s="20"/>
      <c r="BV38" s="20"/>
      <c r="DC38" s="27">
        <v>36</v>
      </c>
      <c r="DD38" s="31">
        <v>18</v>
      </c>
      <c r="DE38" s="32">
        <v>0.38</v>
      </c>
    </row>
    <row r="39" spans="31:109" ht="39.950000000000003" hidden="1" customHeight="1" x14ac:dyDescent="0.25">
      <c r="AE39" s="20" t="s">
        <v>119</v>
      </c>
      <c r="AF39" s="21">
        <v>166</v>
      </c>
      <c r="AG39" s="21">
        <v>207.57</v>
      </c>
      <c r="BU39" s="20"/>
      <c r="BV39" s="20"/>
      <c r="DC39" s="27">
        <v>37</v>
      </c>
      <c r="DD39" s="31">
        <v>18.5</v>
      </c>
      <c r="DE39" s="32">
        <v>0.39</v>
      </c>
    </row>
    <row r="40" spans="31:109" ht="39.950000000000003" hidden="1" customHeight="1" x14ac:dyDescent="0.25">
      <c r="AE40" s="20" t="s">
        <v>120</v>
      </c>
      <c r="AF40" s="21">
        <v>165</v>
      </c>
      <c r="AG40" s="21">
        <v>206.57</v>
      </c>
      <c r="BU40" s="20"/>
      <c r="BV40" s="20"/>
      <c r="DC40" s="27">
        <v>38</v>
      </c>
      <c r="DD40" s="31">
        <v>19</v>
      </c>
      <c r="DE40" s="32">
        <v>0.4</v>
      </c>
    </row>
    <row r="41" spans="31:109" ht="39.950000000000003" hidden="1" customHeight="1" x14ac:dyDescent="0.25">
      <c r="AE41" s="20" t="s">
        <v>121</v>
      </c>
      <c r="AF41" s="21">
        <v>169</v>
      </c>
      <c r="AG41" s="21">
        <v>210.57</v>
      </c>
      <c r="BU41" s="20"/>
      <c r="BV41" s="20"/>
      <c r="DC41" s="27">
        <v>39</v>
      </c>
      <c r="DD41" s="31">
        <v>19.5</v>
      </c>
      <c r="DE41" s="32">
        <v>0.41</v>
      </c>
    </row>
    <row r="42" spans="31:109" ht="39.950000000000003" hidden="1" customHeight="1" x14ac:dyDescent="0.25">
      <c r="AE42" s="20" t="s">
        <v>122</v>
      </c>
      <c r="AF42" s="21">
        <v>168</v>
      </c>
      <c r="AG42" s="21">
        <v>209.57</v>
      </c>
      <c r="BU42" s="20"/>
      <c r="BV42" s="20"/>
      <c r="DC42" s="27">
        <v>40</v>
      </c>
      <c r="DD42" s="31">
        <v>20</v>
      </c>
      <c r="DE42" s="32">
        <v>0.42</v>
      </c>
    </row>
    <row r="43" spans="31:109" ht="39.950000000000003" hidden="1" customHeight="1" x14ac:dyDescent="0.25">
      <c r="AE43" s="20" t="s">
        <v>123</v>
      </c>
      <c r="AF43" s="21">
        <v>167</v>
      </c>
      <c r="AG43" s="21">
        <v>208.57</v>
      </c>
      <c r="BU43" s="20"/>
      <c r="BV43" s="20"/>
      <c r="DC43" s="27">
        <v>41</v>
      </c>
      <c r="DD43" s="31">
        <v>20.5</v>
      </c>
      <c r="DE43" s="32">
        <v>0.43</v>
      </c>
    </row>
    <row r="44" spans="31:109" ht="39.950000000000003" hidden="1" customHeight="1" x14ac:dyDescent="0.25">
      <c r="AE44" s="20" t="s">
        <v>124</v>
      </c>
      <c r="AF44" s="21">
        <v>166</v>
      </c>
      <c r="AG44" s="21">
        <v>207.57</v>
      </c>
      <c r="BU44" s="20"/>
      <c r="BV44" s="20"/>
      <c r="DC44" s="27">
        <v>42</v>
      </c>
      <c r="DD44" s="31">
        <v>21</v>
      </c>
      <c r="DE44" s="32">
        <v>0.44</v>
      </c>
    </row>
    <row r="45" spans="31:109" ht="39.950000000000003" hidden="1" customHeight="1" x14ac:dyDescent="0.25">
      <c r="AE45" s="20" t="s">
        <v>125</v>
      </c>
      <c r="AF45" s="21">
        <v>165</v>
      </c>
      <c r="AG45" s="21">
        <v>206.57</v>
      </c>
      <c r="BU45" s="20"/>
      <c r="BV45" s="20"/>
      <c r="DC45" s="27">
        <v>43</v>
      </c>
      <c r="DD45" s="31">
        <v>21.5</v>
      </c>
      <c r="DE45" s="32">
        <v>0.45</v>
      </c>
    </row>
    <row r="46" spans="31:109" ht="39.950000000000003" hidden="1" customHeight="1" x14ac:dyDescent="0.25">
      <c r="AE46" s="20" t="s">
        <v>147</v>
      </c>
      <c r="AF46" s="21">
        <v>149.5</v>
      </c>
      <c r="AG46" s="21">
        <v>191.07</v>
      </c>
      <c r="BU46" s="20"/>
      <c r="BV46" s="20"/>
      <c r="DC46" s="27">
        <v>44</v>
      </c>
      <c r="DD46" s="31">
        <v>22</v>
      </c>
      <c r="DE46" s="32">
        <v>0.46</v>
      </c>
    </row>
    <row r="47" spans="31:109" ht="39.950000000000003" hidden="1" customHeight="1" x14ac:dyDescent="0.25">
      <c r="AE47" s="20" t="s">
        <v>148</v>
      </c>
      <c r="AF47" s="21">
        <v>149</v>
      </c>
      <c r="AG47" s="21">
        <v>190.57</v>
      </c>
      <c r="BU47" s="20"/>
      <c r="BV47" s="20"/>
      <c r="DC47" s="27">
        <v>45</v>
      </c>
      <c r="DD47" s="31">
        <v>22.5</v>
      </c>
      <c r="DE47" s="32">
        <v>0.47</v>
      </c>
    </row>
    <row r="48" spans="31:109" ht="39.950000000000003" hidden="1" customHeight="1" x14ac:dyDescent="0.25">
      <c r="AE48" s="20" t="s">
        <v>149</v>
      </c>
      <c r="AF48" s="21">
        <v>148.5</v>
      </c>
      <c r="AG48" s="21">
        <v>190.07</v>
      </c>
      <c r="BU48" s="20"/>
      <c r="BV48" s="20"/>
      <c r="DC48" s="27">
        <v>46</v>
      </c>
      <c r="DD48" s="31">
        <v>23</v>
      </c>
      <c r="DE48" s="32">
        <v>0.48</v>
      </c>
    </row>
    <row r="49" spans="31:109" ht="39.950000000000003" hidden="1" customHeight="1" x14ac:dyDescent="0.25">
      <c r="AE49" s="20" t="s">
        <v>150</v>
      </c>
      <c r="AF49" s="21">
        <v>148.5</v>
      </c>
      <c r="AG49" s="21">
        <v>190.07</v>
      </c>
      <c r="BU49" s="20"/>
      <c r="BV49" s="20"/>
      <c r="DC49" s="27">
        <v>47</v>
      </c>
      <c r="DD49" s="31">
        <v>23.5</v>
      </c>
      <c r="DE49" s="32">
        <v>0.49</v>
      </c>
    </row>
    <row r="50" spans="31:109" ht="39.950000000000003" hidden="1" customHeight="1" x14ac:dyDescent="0.25">
      <c r="AE50" s="20" t="s">
        <v>151</v>
      </c>
      <c r="AF50" s="21">
        <v>148.5</v>
      </c>
      <c r="AG50" s="21">
        <v>190.07</v>
      </c>
      <c r="BU50" s="20"/>
      <c r="BV50" s="20"/>
      <c r="DC50" s="27">
        <v>48</v>
      </c>
      <c r="DD50" s="31">
        <v>24</v>
      </c>
      <c r="DE50" s="32">
        <v>0.5</v>
      </c>
    </row>
    <row r="51" spans="31:109" ht="39.950000000000003" hidden="1" customHeight="1" x14ac:dyDescent="0.25">
      <c r="AE51" s="20" t="s">
        <v>126</v>
      </c>
      <c r="AF51" s="21">
        <v>149.5</v>
      </c>
      <c r="AG51" s="21">
        <v>191.07</v>
      </c>
      <c r="BU51" s="20"/>
      <c r="BV51" s="20"/>
      <c r="DC51" s="27">
        <v>49</v>
      </c>
      <c r="DD51" s="31">
        <v>24.5</v>
      </c>
      <c r="DE51" s="40" t="s">
        <v>0</v>
      </c>
    </row>
    <row r="52" spans="31:109" ht="39.950000000000003" hidden="1" customHeight="1" x14ac:dyDescent="0.25">
      <c r="AE52" s="20" t="s">
        <v>127</v>
      </c>
      <c r="AF52" s="21">
        <v>149</v>
      </c>
      <c r="AG52" s="21">
        <v>190.57</v>
      </c>
      <c r="BU52" s="20"/>
      <c r="BV52" s="20"/>
      <c r="DC52" s="27">
        <v>50</v>
      </c>
      <c r="DD52" s="31">
        <v>25</v>
      </c>
      <c r="DE52" s="40" t="s">
        <v>0</v>
      </c>
    </row>
    <row r="53" spans="31:109" ht="39.950000000000003" hidden="1" customHeight="1" x14ac:dyDescent="0.25">
      <c r="AE53" s="20" t="s">
        <v>128</v>
      </c>
      <c r="AF53" s="21">
        <v>148.5</v>
      </c>
      <c r="AG53" s="21">
        <v>190.07</v>
      </c>
      <c r="BU53" s="20"/>
      <c r="BV53" s="20"/>
      <c r="DC53" s="27">
        <v>51</v>
      </c>
      <c r="DD53" s="31">
        <v>25.5</v>
      </c>
      <c r="DE53" s="40" t="s">
        <v>0</v>
      </c>
    </row>
    <row r="54" spans="31:109" ht="39.950000000000003" hidden="1" customHeight="1" x14ac:dyDescent="0.25">
      <c r="AE54" s="20" t="s">
        <v>129</v>
      </c>
      <c r="AF54" s="21">
        <v>148.5</v>
      </c>
      <c r="AG54" s="21">
        <v>190.07</v>
      </c>
      <c r="BU54" s="20"/>
      <c r="BV54" s="20"/>
      <c r="DC54" s="27">
        <v>52</v>
      </c>
      <c r="DD54" s="31">
        <v>26</v>
      </c>
      <c r="DE54" s="40" t="s">
        <v>0</v>
      </c>
    </row>
    <row r="55" spans="31:109" ht="39.950000000000003" hidden="1" customHeight="1" x14ac:dyDescent="0.25">
      <c r="AE55" s="20" t="s">
        <v>130</v>
      </c>
      <c r="AF55" s="21">
        <v>148.5</v>
      </c>
      <c r="AG55" s="21">
        <v>190.07</v>
      </c>
      <c r="BU55" s="20"/>
      <c r="BV55" s="20"/>
      <c r="DC55" s="27">
        <v>53</v>
      </c>
      <c r="DD55" s="31">
        <v>26.5</v>
      </c>
      <c r="DE55" s="40" t="s">
        <v>0</v>
      </c>
    </row>
    <row r="56" spans="31:109" ht="39.950000000000003" hidden="1" customHeight="1" x14ac:dyDescent="0.25">
      <c r="AE56" s="20" t="s">
        <v>131</v>
      </c>
      <c r="AF56" s="21">
        <v>149.5</v>
      </c>
      <c r="AG56" s="21">
        <v>191.07</v>
      </c>
      <c r="BU56" s="20"/>
      <c r="BV56" s="20"/>
      <c r="DC56" s="27">
        <v>54</v>
      </c>
      <c r="DD56" s="31">
        <v>27</v>
      </c>
      <c r="DE56" s="40" t="s">
        <v>0</v>
      </c>
    </row>
    <row r="57" spans="31:109" ht="39.950000000000003" hidden="1" customHeight="1" x14ac:dyDescent="0.25">
      <c r="AE57" s="20" t="s">
        <v>132</v>
      </c>
      <c r="AF57" s="21">
        <v>149</v>
      </c>
      <c r="AG57" s="21">
        <v>190.57</v>
      </c>
      <c r="BU57" s="20"/>
      <c r="BV57" s="20"/>
      <c r="DC57" s="27">
        <v>55</v>
      </c>
      <c r="DD57" s="31">
        <v>27.5</v>
      </c>
      <c r="DE57" s="40" t="s">
        <v>0</v>
      </c>
    </row>
    <row r="58" spans="31:109" ht="39.950000000000003" hidden="1" customHeight="1" x14ac:dyDescent="0.25">
      <c r="AE58" s="20" t="s">
        <v>133</v>
      </c>
      <c r="AF58" s="21">
        <v>148.5</v>
      </c>
      <c r="AG58" s="21">
        <v>190.07</v>
      </c>
      <c r="BU58" s="20"/>
      <c r="BV58" s="20"/>
      <c r="DC58" s="27">
        <v>56</v>
      </c>
      <c r="DD58" s="31">
        <v>28</v>
      </c>
      <c r="DE58" s="40" t="s">
        <v>0</v>
      </c>
    </row>
    <row r="59" spans="31:109" ht="39.950000000000003" hidden="1" customHeight="1" x14ac:dyDescent="0.25">
      <c r="AE59" s="20" t="s">
        <v>134</v>
      </c>
      <c r="AF59" s="21">
        <v>148.5</v>
      </c>
      <c r="AG59" s="21">
        <v>190.07</v>
      </c>
      <c r="BU59" s="20"/>
      <c r="BV59" s="20"/>
      <c r="DC59" s="27">
        <v>57</v>
      </c>
      <c r="DD59" s="31">
        <v>28.5</v>
      </c>
      <c r="DE59" s="40" t="s">
        <v>0</v>
      </c>
    </row>
    <row r="60" spans="31:109" ht="39.950000000000003" hidden="1" customHeight="1" x14ac:dyDescent="0.25">
      <c r="AE60" s="20" t="s">
        <v>135</v>
      </c>
      <c r="AF60" s="21">
        <v>148.5</v>
      </c>
      <c r="AG60" s="21">
        <v>190.07</v>
      </c>
      <c r="BU60" s="20"/>
      <c r="BV60" s="20"/>
      <c r="DC60" s="27">
        <v>58</v>
      </c>
      <c r="DD60" s="31">
        <v>29</v>
      </c>
      <c r="DE60" s="40" t="s">
        <v>0</v>
      </c>
    </row>
    <row r="61" spans="31:109" ht="39.950000000000003" hidden="1" customHeight="1" x14ac:dyDescent="0.25">
      <c r="AE61" s="20" t="s">
        <v>136</v>
      </c>
      <c r="AF61" s="21">
        <v>147.5</v>
      </c>
      <c r="AG61" s="21">
        <v>189.07</v>
      </c>
      <c r="BU61" s="20"/>
      <c r="BV61" s="20"/>
      <c r="DC61" s="27">
        <v>59</v>
      </c>
      <c r="DD61" s="31">
        <v>29.5</v>
      </c>
      <c r="DE61" s="40" t="s">
        <v>0</v>
      </c>
    </row>
    <row r="62" spans="31:109" ht="39.950000000000003" hidden="1" customHeight="1" x14ac:dyDescent="0.25">
      <c r="AE62" s="20" t="s">
        <v>137</v>
      </c>
      <c r="AF62" s="21">
        <v>147</v>
      </c>
      <c r="AG62" s="21">
        <v>188.57</v>
      </c>
      <c r="BU62" s="20"/>
      <c r="BV62" s="20"/>
      <c r="DC62" s="27">
        <v>60</v>
      </c>
      <c r="DD62" s="31">
        <v>30</v>
      </c>
      <c r="DE62" s="40" t="s">
        <v>0</v>
      </c>
    </row>
    <row r="63" spans="31:109" ht="39.950000000000003" hidden="1" customHeight="1" x14ac:dyDescent="0.25">
      <c r="AE63" s="20" t="s">
        <v>138</v>
      </c>
      <c r="AF63" s="21">
        <v>146.5</v>
      </c>
      <c r="AG63" s="21">
        <v>188.07</v>
      </c>
      <c r="BU63" s="20"/>
      <c r="BV63" s="20"/>
      <c r="DC63" s="27">
        <v>61</v>
      </c>
      <c r="DD63" s="31">
        <v>30.5</v>
      </c>
      <c r="DE63" s="40" t="s">
        <v>0</v>
      </c>
    </row>
    <row r="64" spans="31:109" ht="39.950000000000003" hidden="1" customHeight="1" x14ac:dyDescent="0.25">
      <c r="AE64" s="20" t="s">
        <v>139</v>
      </c>
      <c r="AF64" s="21">
        <v>146.5</v>
      </c>
      <c r="AG64" s="21">
        <v>188.07</v>
      </c>
      <c r="BU64" s="20"/>
      <c r="BV64" s="20"/>
      <c r="DC64" s="27">
        <v>62</v>
      </c>
      <c r="DD64" s="31">
        <v>31</v>
      </c>
      <c r="DE64" s="40" t="s">
        <v>0</v>
      </c>
    </row>
    <row r="65" spans="31:109" ht="39.950000000000003" hidden="1" customHeight="1" x14ac:dyDescent="0.25">
      <c r="AE65" s="20" t="s">
        <v>140</v>
      </c>
      <c r="AF65" s="21">
        <v>146.5</v>
      </c>
      <c r="AG65" s="21">
        <v>188.07</v>
      </c>
      <c r="BU65" s="20"/>
      <c r="BV65" s="20"/>
      <c r="DC65" s="27">
        <v>63</v>
      </c>
      <c r="DD65" s="31">
        <v>31.5</v>
      </c>
      <c r="DE65" s="40" t="s">
        <v>0</v>
      </c>
    </row>
    <row r="66" spans="31:109" ht="39.950000000000003" hidden="1" customHeight="1" x14ac:dyDescent="0.25">
      <c r="AE66" s="20" t="s">
        <v>141</v>
      </c>
      <c r="AF66" s="21">
        <v>233.5</v>
      </c>
      <c r="AG66" s="21">
        <v>250.07</v>
      </c>
      <c r="BU66" s="20"/>
      <c r="BV66" s="20"/>
      <c r="DC66" s="27">
        <v>64</v>
      </c>
      <c r="DD66" s="31">
        <v>32</v>
      </c>
      <c r="DE66" s="40" t="s">
        <v>0</v>
      </c>
    </row>
    <row r="67" spans="31:109" ht="39.950000000000003" hidden="1" customHeight="1" x14ac:dyDescent="0.25">
      <c r="AE67" s="20" t="s">
        <v>142</v>
      </c>
      <c r="AF67" s="21">
        <v>184.5</v>
      </c>
      <c r="AG67" s="21">
        <v>226.07</v>
      </c>
      <c r="BU67" s="20"/>
      <c r="BV67" s="20"/>
      <c r="DC67" s="27">
        <v>65</v>
      </c>
      <c r="DD67" s="31">
        <v>32.5</v>
      </c>
      <c r="DE67" s="40" t="s">
        <v>0</v>
      </c>
    </row>
    <row r="68" spans="31:109" ht="39.950000000000003" hidden="1" customHeight="1" x14ac:dyDescent="0.25">
      <c r="AE68" s="20" t="s">
        <v>143</v>
      </c>
      <c r="AF68" s="21">
        <v>179.5</v>
      </c>
      <c r="AG68" s="21">
        <v>221.07</v>
      </c>
      <c r="BU68" s="20"/>
      <c r="BV68" s="20"/>
      <c r="DC68" s="27">
        <v>66</v>
      </c>
      <c r="DD68" s="31">
        <v>33</v>
      </c>
      <c r="DE68" s="40" t="s">
        <v>0</v>
      </c>
    </row>
    <row r="69" spans="31:109" ht="39.950000000000003" hidden="1" customHeight="1" x14ac:dyDescent="0.25">
      <c r="AE69" s="20" t="s">
        <v>144</v>
      </c>
      <c r="AF69" s="21">
        <v>169.5</v>
      </c>
      <c r="AG69" s="21">
        <v>211.07</v>
      </c>
      <c r="BU69" s="20"/>
      <c r="BV69" s="20"/>
      <c r="DC69" s="27">
        <v>67</v>
      </c>
      <c r="DD69" s="31">
        <v>33.5</v>
      </c>
      <c r="DE69" s="40" t="s">
        <v>0</v>
      </c>
    </row>
    <row r="70" spans="31:109" ht="39.950000000000003" hidden="1" customHeight="1" x14ac:dyDescent="0.25">
      <c r="AE70" s="20" t="s">
        <v>145</v>
      </c>
      <c r="AF70" s="21">
        <v>165</v>
      </c>
      <c r="AG70" s="21">
        <v>206.57</v>
      </c>
      <c r="BU70" s="20"/>
      <c r="BV70" s="20"/>
      <c r="DC70" s="27">
        <v>68</v>
      </c>
      <c r="DD70" s="31">
        <v>34</v>
      </c>
      <c r="DE70" s="40" t="s">
        <v>0</v>
      </c>
    </row>
    <row r="71" spans="31:109" ht="39.950000000000003" hidden="1" customHeight="1" x14ac:dyDescent="0.25">
      <c r="DC71" s="27">
        <v>69</v>
      </c>
      <c r="DD71" s="31">
        <v>34.5</v>
      </c>
      <c r="DE71" s="40" t="s">
        <v>0</v>
      </c>
    </row>
    <row r="72" spans="31:109" ht="39.950000000000003" hidden="1" customHeight="1" x14ac:dyDescent="0.25">
      <c r="DC72" s="27">
        <v>70</v>
      </c>
      <c r="DD72" s="31">
        <v>35</v>
      </c>
      <c r="DE72" s="40" t="s">
        <v>0</v>
      </c>
    </row>
    <row r="73" spans="31:109" ht="39.950000000000003" hidden="1" customHeight="1" x14ac:dyDescent="0.25">
      <c r="DC73" s="27">
        <v>71</v>
      </c>
      <c r="DD73" s="31">
        <v>35.5</v>
      </c>
      <c r="DE73" s="40" t="s">
        <v>0</v>
      </c>
    </row>
    <row r="74" spans="31:109" ht="39.950000000000003" hidden="1" customHeight="1" x14ac:dyDescent="0.25">
      <c r="DC74" s="27">
        <v>72</v>
      </c>
      <c r="DD74" s="31">
        <v>36</v>
      </c>
      <c r="DE74" s="40" t="s">
        <v>0</v>
      </c>
    </row>
    <row r="75" spans="31:109" ht="39.950000000000003" hidden="1" customHeight="1" x14ac:dyDescent="0.25">
      <c r="DC75" s="27">
        <v>73</v>
      </c>
      <c r="DD75" s="31">
        <v>36.5</v>
      </c>
      <c r="DE75" s="40" t="s">
        <v>0</v>
      </c>
    </row>
    <row r="76" spans="31:109" ht="39.950000000000003" hidden="1" customHeight="1" x14ac:dyDescent="0.25">
      <c r="DC76" s="27">
        <v>74</v>
      </c>
      <c r="DD76" s="31">
        <v>37</v>
      </c>
      <c r="DE76" s="40" t="s">
        <v>0</v>
      </c>
    </row>
    <row r="77" spans="31:109" ht="39.950000000000003" hidden="1" customHeight="1" x14ac:dyDescent="0.25">
      <c r="DC77" s="27">
        <v>75</v>
      </c>
      <c r="DD77" s="31">
        <v>37.5</v>
      </c>
      <c r="DE77" s="40" t="s">
        <v>0</v>
      </c>
    </row>
    <row r="78" spans="31:109" ht="39.950000000000003" hidden="1" customHeight="1" x14ac:dyDescent="0.25">
      <c r="DC78" s="27">
        <v>76</v>
      </c>
      <c r="DD78" s="31">
        <v>38</v>
      </c>
      <c r="DE78" s="40" t="s">
        <v>0</v>
      </c>
    </row>
    <row r="79" spans="31:109" ht="39.950000000000003" hidden="1" customHeight="1" x14ac:dyDescent="0.25">
      <c r="DC79" s="27">
        <v>77</v>
      </c>
      <c r="DD79" s="31">
        <v>38.5</v>
      </c>
      <c r="DE79" s="40" t="s">
        <v>0</v>
      </c>
    </row>
    <row r="80" spans="31:109" ht="39.950000000000003" hidden="1" customHeight="1" x14ac:dyDescent="0.25">
      <c r="DC80" s="27">
        <v>78</v>
      </c>
      <c r="DD80" s="31">
        <v>39</v>
      </c>
      <c r="DE80" s="40" t="s">
        <v>0</v>
      </c>
    </row>
    <row r="81" spans="107:109" ht="39.950000000000003" hidden="1" customHeight="1" x14ac:dyDescent="0.25">
      <c r="DC81" s="27">
        <v>79</v>
      </c>
      <c r="DD81" s="31">
        <v>39.5</v>
      </c>
      <c r="DE81" s="40" t="s">
        <v>0</v>
      </c>
    </row>
    <row r="82" spans="107:109" ht="39.950000000000003" hidden="1" customHeight="1" x14ac:dyDescent="0.25">
      <c r="DC82" s="27">
        <v>80</v>
      </c>
      <c r="DD82" s="31">
        <v>40</v>
      </c>
      <c r="DE82" s="40" t="s">
        <v>0</v>
      </c>
    </row>
    <row r="83" spans="107:109" ht="39.950000000000003" hidden="1" customHeight="1" x14ac:dyDescent="0.25">
      <c r="DC83" s="27">
        <v>81</v>
      </c>
      <c r="DD83" s="31">
        <v>40.5</v>
      </c>
      <c r="DE83" s="40" t="s">
        <v>0</v>
      </c>
    </row>
    <row r="84" spans="107:109" ht="39.950000000000003" hidden="1" customHeight="1" x14ac:dyDescent="0.25">
      <c r="DC84" s="27">
        <v>82</v>
      </c>
      <c r="DD84" s="31">
        <v>41</v>
      </c>
      <c r="DE84" s="40" t="s">
        <v>0</v>
      </c>
    </row>
    <row r="85" spans="107:109" ht="39.950000000000003" hidden="1" customHeight="1" x14ac:dyDescent="0.25">
      <c r="DC85" s="27">
        <v>83</v>
      </c>
      <c r="DD85" s="31">
        <v>41.5</v>
      </c>
      <c r="DE85" s="40" t="s">
        <v>0</v>
      </c>
    </row>
    <row r="86" spans="107:109" ht="39.950000000000003" hidden="1" customHeight="1" x14ac:dyDescent="0.25">
      <c r="DC86" s="27">
        <v>84</v>
      </c>
      <c r="DD86" s="31">
        <v>42</v>
      </c>
      <c r="DE86" s="40" t="s">
        <v>0</v>
      </c>
    </row>
    <row r="87" spans="107:109" ht="39.950000000000003" hidden="1" customHeight="1" x14ac:dyDescent="0.25">
      <c r="DC87" s="27">
        <v>85</v>
      </c>
      <c r="DD87" s="31">
        <v>42.5</v>
      </c>
      <c r="DE87" s="40" t="s">
        <v>0</v>
      </c>
    </row>
    <row r="88" spans="107:109" ht="39.950000000000003" hidden="1" customHeight="1" x14ac:dyDescent="0.25">
      <c r="DC88" s="27">
        <v>86</v>
      </c>
      <c r="DD88" s="31">
        <v>43</v>
      </c>
      <c r="DE88" s="40" t="s">
        <v>0</v>
      </c>
    </row>
    <row r="89" spans="107:109" ht="39.950000000000003" hidden="1" customHeight="1" x14ac:dyDescent="0.25">
      <c r="DC89" s="27">
        <v>87</v>
      </c>
      <c r="DD89" s="31">
        <v>43.5</v>
      </c>
      <c r="DE89" s="40" t="s">
        <v>0</v>
      </c>
    </row>
    <row r="90" spans="107:109" ht="39.950000000000003" hidden="1" customHeight="1" x14ac:dyDescent="0.25">
      <c r="DC90" s="27">
        <v>88</v>
      </c>
      <c r="DD90" s="31">
        <v>44</v>
      </c>
      <c r="DE90" s="40" t="s">
        <v>0</v>
      </c>
    </row>
    <row r="91" spans="107:109" ht="39.950000000000003" hidden="1" customHeight="1" x14ac:dyDescent="0.25">
      <c r="DC91" s="27">
        <v>89</v>
      </c>
      <c r="DD91" s="31">
        <v>44.5</v>
      </c>
      <c r="DE91" s="40" t="s">
        <v>0</v>
      </c>
    </row>
    <row r="92" spans="107:109" ht="39.950000000000003" hidden="1" customHeight="1" x14ac:dyDescent="0.25">
      <c r="DC92" s="27">
        <v>90</v>
      </c>
      <c r="DD92" s="31">
        <v>45</v>
      </c>
      <c r="DE92" s="40" t="s">
        <v>0</v>
      </c>
    </row>
    <row r="93" spans="107:109" ht="39.950000000000003" hidden="1" customHeight="1" x14ac:dyDescent="0.25">
      <c r="DC93" s="27">
        <v>91</v>
      </c>
      <c r="DD93" s="31">
        <v>45.5</v>
      </c>
      <c r="DE93" s="40" t="s">
        <v>0</v>
      </c>
    </row>
    <row r="94" spans="107:109" ht="39.950000000000003" hidden="1" customHeight="1" x14ac:dyDescent="0.25">
      <c r="DC94" s="27">
        <v>92</v>
      </c>
      <c r="DD94" s="31">
        <v>46</v>
      </c>
      <c r="DE94" s="40" t="s">
        <v>0</v>
      </c>
    </row>
    <row r="95" spans="107:109" ht="39.950000000000003" hidden="1" customHeight="1" x14ac:dyDescent="0.25">
      <c r="DC95" s="27">
        <v>93</v>
      </c>
      <c r="DD95" s="31">
        <v>46.5</v>
      </c>
      <c r="DE95" s="40" t="s">
        <v>0</v>
      </c>
    </row>
    <row r="96" spans="107:109" ht="39.950000000000003" hidden="1" customHeight="1" x14ac:dyDescent="0.25">
      <c r="DC96" s="27">
        <v>94</v>
      </c>
      <c r="DD96" s="31">
        <v>47</v>
      </c>
      <c r="DE96" s="40" t="s">
        <v>0</v>
      </c>
    </row>
    <row r="97" spans="107:109" ht="39.950000000000003" hidden="1" customHeight="1" x14ac:dyDescent="0.25">
      <c r="DC97" s="27">
        <v>95</v>
      </c>
      <c r="DD97" s="31">
        <v>47.5</v>
      </c>
      <c r="DE97" s="40" t="s">
        <v>0</v>
      </c>
    </row>
    <row r="98" spans="107:109" ht="39.950000000000003" hidden="1" customHeight="1" x14ac:dyDescent="0.25">
      <c r="DC98" s="27">
        <v>96</v>
      </c>
      <c r="DD98" s="31">
        <v>48</v>
      </c>
      <c r="DE98" s="40" t="s">
        <v>0</v>
      </c>
    </row>
    <row r="99" spans="107:109" ht="39.950000000000003" hidden="1" customHeight="1" x14ac:dyDescent="0.25">
      <c r="DC99" s="27">
        <v>97</v>
      </c>
      <c r="DD99" s="31">
        <v>48.5</v>
      </c>
      <c r="DE99" s="40" t="s">
        <v>0</v>
      </c>
    </row>
    <row r="100" spans="107:109" ht="39.950000000000003" hidden="1" customHeight="1" x14ac:dyDescent="0.25">
      <c r="DC100" s="27">
        <v>98</v>
      </c>
      <c r="DD100" s="31">
        <v>49</v>
      </c>
      <c r="DE100" s="40" t="s">
        <v>0</v>
      </c>
    </row>
    <row r="101" spans="107:109" ht="39.950000000000003" hidden="1" customHeight="1" x14ac:dyDescent="0.25">
      <c r="DC101" s="27">
        <v>99</v>
      </c>
      <c r="DD101" s="31">
        <v>49.5</v>
      </c>
      <c r="DE101" s="40" t="s">
        <v>0</v>
      </c>
    </row>
    <row r="102" spans="107:109" ht="39.950000000000003" hidden="1" customHeight="1" x14ac:dyDescent="0.25">
      <c r="DC102" s="27">
        <v>100</v>
      </c>
      <c r="DD102" s="31">
        <v>50</v>
      </c>
      <c r="DE102" s="40" t="s">
        <v>0</v>
      </c>
    </row>
    <row r="103" spans="107:109" ht="39.950000000000003" hidden="1" customHeight="1" x14ac:dyDescent="0.25">
      <c r="DC103" s="27">
        <v>101</v>
      </c>
      <c r="DD103" s="31">
        <v>50.5</v>
      </c>
      <c r="DE103" s="40" t="s">
        <v>0</v>
      </c>
    </row>
    <row r="104" spans="107:109" ht="39.950000000000003" hidden="1" customHeight="1" x14ac:dyDescent="0.25">
      <c r="DC104" s="27">
        <v>102</v>
      </c>
      <c r="DD104" s="31">
        <v>51</v>
      </c>
      <c r="DE104" s="40" t="s">
        <v>0</v>
      </c>
    </row>
    <row r="105" spans="107:109" ht="39.950000000000003" hidden="1" customHeight="1" x14ac:dyDescent="0.25">
      <c r="DC105" s="27">
        <v>103</v>
      </c>
      <c r="DD105" s="31">
        <v>51.5</v>
      </c>
      <c r="DE105" s="40" t="s">
        <v>0</v>
      </c>
    </row>
    <row r="106" spans="107:109" ht="39.950000000000003" hidden="1" customHeight="1" x14ac:dyDescent="0.25">
      <c r="DC106" s="27">
        <v>104</v>
      </c>
      <c r="DD106" s="31">
        <v>52</v>
      </c>
      <c r="DE106" s="40" t="s">
        <v>0</v>
      </c>
    </row>
    <row r="107" spans="107:109" ht="39.950000000000003" hidden="1" customHeight="1" x14ac:dyDescent="0.25">
      <c r="DC107" s="27">
        <v>105</v>
      </c>
      <c r="DD107" s="31">
        <v>52.5</v>
      </c>
      <c r="DE107" s="40" t="s">
        <v>0</v>
      </c>
    </row>
    <row r="108" spans="107:109" ht="39.950000000000003" hidden="1" customHeight="1" x14ac:dyDescent="0.25">
      <c r="DC108" s="27">
        <v>106</v>
      </c>
      <c r="DD108" s="31">
        <v>53</v>
      </c>
      <c r="DE108" s="40" t="s">
        <v>0</v>
      </c>
    </row>
    <row r="109" spans="107:109" ht="39.950000000000003" hidden="1" customHeight="1" x14ac:dyDescent="0.25">
      <c r="DC109" s="27">
        <v>107</v>
      </c>
      <c r="DD109" s="31">
        <v>53.5</v>
      </c>
      <c r="DE109" s="40" t="s">
        <v>0</v>
      </c>
    </row>
    <row r="110" spans="107:109" ht="39.950000000000003" hidden="1" customHeight="1" x14ac:dyDescent="0.25">
      <c r="DC110" s="27">
        <v>108</v>
      </c>
      <c r="DD110" s="31">
        <v>54</v>
      </c>
      <c r="DE110" s="40" t="s">
        <v>0</v>
      </c>
    </row>
    <row r="111" spans="107:109" ht="39.950000000000003" hidden="1" customHeight="1" x14ac:dyDescent="0.25">
      <c r="DC111" s="27">
        <v>109</v>
      </c>
      <c r="DD111" s="31">
        <v>54.5</v>
      </c>
      <c r="DE111" s="40" t="s">
        <v>0</v>
      </c>
    </row>
    <row r="112" spans="107:109" ht="39.950000000000003" hidden="1" customHeight="1" x14ac:dyDescent="0.25">
      <c r="DC112" s="27">
        <v>110</v>
      </c>
      <c r="DD112" s="31">
        <v>55</v>
      </c>
      <c r="DE112" s="40" t="s">
        <v>0</v>
      </c>
    </row>
    <row r="113" spans="107:109" ht="39.950000000000003" hidden="1" customHeight="1" x14ac:dyDescent="0.25">
      <c r="DC113" s="27">
        <v>111</v>
      </c>
      <c r="DD113" s="31">
        <v>55.5</v>
      </c>
      <c r="DE113" s="40" t="s">
        <v>0</v>
      </c>
    </row>
    <row r="114" spans="107:109" ht="39.950000000000003" hidden="1" customHeight="1" x14ac:dyDescent="0.25">
      <c r="DC114" s="27">
        <v>112</v>
      </c>
      <c r="DD114" s="31">
        <v>56</v>
      </c>
      <c r="DE114" s="40" t="s">
        <v>0</v>
      </c>
    </row>
    <row r="115" spans="107:109" ht="39.950000000000003" hidden="1" customHeight="1" x14ac:dyDescent="0.25">
      <c r="DC115" s="27">
        <v>113</v>
      </c>
      <c r="DD115" s="31">
        <v>56.5</v>
      </c>
      <c r="DE115" s="40" t="s">
        <v>0</v>
      </c>
    </row>
    <row r="116" spans="107:109" ht="39.950000000000003" hidden="1" customHeight="1" x14ac:dyDescent="0.25">
      <c r="DC116" s="27">
        <v>114</v>
      </c>
      <c r="DD116" s="31">
        <v>57</v>
      </c>
      <c r="DE116" s="40" t="s">
        <v>0</v>
      </c>
    </row>
    <row r="117" spans="107:109" ht="39.950000000000003" hidden="1" customHeight="1" x14ac:dyDescent="0.25">
      <c r="DC117" s="27">
        <v>115</v>
      </c>
      <c r="DD117" s="31">
        <v>57.5</v>
      </c>
      <c r="DE117" s="40" t="s">
        <v>0</v>
      </c>
    </row>
    <row r="118" spans="107:109" ht="39.950000000000003" hidden="1" customHeight="1" x14ac:dyDescent="0.25">
      <c r="DC118" s="27">
        <v>116</v>
      </c>
      <c r="DD118" s="31">
        <v>58</v>
      </c>
      <c r="DE118" s="40" t="s">
        <v>0</v>
      </c>
    </row>
    <row r="119" spans="107:109" ht="39.950000000000003" hidden="1" customHeight="1" x14ac:dyDescent="0.25">
      <c r="DC119" s="27">
        <v>117</v>
      </c>
      <c r="DD119" s="31">
        <v>58.5</v>
      </c>
      <c r="DE119" s="40" t="s">
        <v>0</v>
      </c>
    </row>
    <row r="120" spans="107:109" ht="39.950000000000003" hidden="1" customHeight="1" x14ac:dyDescent="0.25">
      <c r="DC120" s="27">
        <v>118</v>
      </c>
      <c r="DD120" s="31">
        <v>59</v>
      </c>
      <c r="DE120" s="40" t="s">
        <v>0</v>
      </c>
    </row>
    <row r="121" spans="107:109" ht="39.950000000000003" hidden="1" customHeight="1" x14ac:dyDescent="0.25">
      <c r="DC121" s="27">
        <v>119</v>
      </c>
      <c r="DD121" s="31">
        <v>59.5</v>
      </c>
      <c r="DE121" s="40" t="s">
        <v>0</v>
      </c>
    </row>
    <row r="122" spans="107:109" ht="39.950000000000003" hidden="1" customHeight="1" x14ac:dyDescent="0.25">
      <c r="DC122" s="27">
        <v>120</v>
      </c>
      <c r="DD122" s="31">
        <v>60</v>
      </c>
      <c r="DE122" s="40" t="s">
        <v>0</v>
      </c>
    </row>
    <row r="123" spans="107:109" ht="39.950000000000003" hidden="1" customHeight="1" x14ac:dyDescent="0.25">
      <c r="DC123" s="27">
        <v>121</v>
      </c>
      <c r="DD123" s="31">
        <v>60.5</v>
      </c>
      <c r="DE123" s="40" t="s">
        <v>0</v>
      </c>
    </row>
    <row r="124" spans="107:109" ht="39.950000000000003" hidden="1" customHeight="1" x14ac:dyDescent="0.25">
      <c r="DC124" s="27">
        <v>122</v>
      </c>
      <c r="DD124" s="31">
        <v>61</v>
      </c>
      <c r="DE124" s="40" t="s">
        <v>0</v>
      </c>
    </row>
    <row r="125" spans="107:109" ht="39.950000000000003" hidden="1" customHeight="1" x14ac:dyDescent="0.25">
      <c r="DC125" s="27">
        <v>123</v>
      </c>
      <c r="DD125" s="31">
        <v>61.5</v>
      </c>
      <c r="DE125" s="40" t="s">
        <v>0</v>
      </c>
    </row>
    <row r="126" spans="107:109" ht="39.950000000000003" hidden="1" customHeight="1" x14ac:dyDescent="0.25">
      <c r="DC126" s="27">
        <v>124</v>
      </c>
      <c r="DD126" s="31">
        <v>62</v>
      </c>
      <c r="DE126" s="40" t="s">
        <v>0</v>
      </c>
    </row>
    <row r="127" spans="107:109" ht="39.950000000000003" hidden="1" customHeight="1" x14ac:dyDescent="0.25">
      <c r="DC127" s="27">
        <v>125</v>
      </c>
      <c r="DD127" s="31">
        <v>62.5</v>
      </c>
      <c r="DE127" s="40" t="s">
        <v>0</v>
      </c>
    </row>
    <row r="128" spans="107:109" ht="39.950000000000003" hidden="1" customHeight="1" x14ac:dyDescent="0.25">
      <c r="DC128" s="27">
        <v>126</v>
      </c>
      <c r="DD128" s="31">
        <v>63</v>
      </c>
      <c r="DE128" s="40" t="s">
        <v>0</v>
      </c>
    </row>
    <row r="129" spans="107:109" ht="39.950000000000003" hidden="1" customHeight="1" x14ac:dyDescent="0.25">
      <c r="DC129" s="27">
        <v>127</v>
      </c>
      <c r="DD129" s="31">
        <v>63.5</v>
      </c>
      <c r="DE129" s="40" t="s">
        <v>0</v>
      </c>
    </row>
    <row r="130" spans="107:109" ht="39.950000000000003" hidden="1" customHeight="1" x14ac:dyDescent="0.25">
      <c r="DC130" s="27">
        <v>128</v>
      </c>
      <c r="DD130" s="31">
        <v>64</v>
      </c>
      <c r="DE130" s="40" t="s">
        <v>0</v>
      </c>
    </row>
    <row r="131" spans="107:109" ht="39.950000000000003" hidden="1" customHeight="1" x14ac:dyDescent="0.25">
      <c r="DC131" s="27">
        <v>129</v>
      </c>
      <c r="DD131" s="31">
        <v>64.5</v>
      </c>
      <c r="DE131" s="40" t="s">
        <v>0</v>
      </c>
    </row>
    <row r="132" spans="107:109" ht="39.950000000000003" hidden="1" customHeight="1" x14ac:dyDescent="0.25">
      <c r="DC132" s="27">
        <v>130</v>
      </c>
      <c r="DD132" s="31">
        <v>65</v>
      </c>
      <c r="DE132" s="40" t="s">
        <v>0</v>
      </c>
    </row>
    <row r="133" spans="107:109" ht="39.950000000000003" hidden="1" customHeight="1" x14ac:dyDescent="0.25">
      <c r="DC133" s="27">
        <v>131</v>
      </c>
      <c r="DD133" s="31">
        <v>65.5</v>
      </c>
      <c r="DE133" s="40" t="s">
        <v>0</v>
      </c>
    </row>
    <row r="134" spans="107:109" ht="39.950000000000003" hidden="1" customHeight="1" x14ac:dyDescent="0.25">
      <c r="DC134" s="27">
        <v>132</v>
      </c>
      <c r="DD134" s="31">
        <v>66</v>
      </c>
      <c r="DE134" s="40" t="s">
        <v>0</v>
      </c>
    </row>
    <row r="135" spans="107:109" ht="39.950000000000003" hidden="1" customHeight="1" x14ac:dyDescent="0.25">
      <c r="DC135" s="27">
        <v>133</v>
      </c>
      <c r="DD135" s="31">
        <v>66.5</v>
      </c>
      <c r="DE135" s="40" t="s">
        <v>0</v>
      </c>
    </row>
    <row r="136" spans="107:109" ht="39.950000000000003" hidden="1" customHeight="1" x14ac:dyDescent="0.25">
      <c r="DC136" s="27">
        <v>134</v>
      </c>
      <c r="DD136" s="31">
        <v>67</v>
      </c>
      <c r="DE136" s="40" t="s">
        <v>0</v>
      </c>
    </row>
    <row r="137" spans="107:109" ht="39.950000000000003" hidden="1" customHeight="1" x14ac:dyDescent="0.25">
      <c r="DC137" s="27">
        <v>135</v>
      </c>
      <c r="DD137" s="31">
        <v>67.5</v>
      </c>
      <c r="DE137" s="40" t="s">
        <v>0</v>
      </c>
    </row>
    <row r="138" spans="107:109" ht="39.950000000000003" hidden="1" customHeight="1" x14ac:dyDescent="0.25">
      <c r="DC138" s="27">
        <v>136</v>
      </c>
      <c r="DD138" s="31">
        <v>68</v>
      </c>
      <c r="DE138" s="40" t="s">
        <v>0</v>
      </c>
    </row>
    <row r="139" spans="107:109" ht="39.950000000000003" hidden="1" customHeight="1" x14ac:dyDescent="0.25">
      <c r="DC139" s="27">
        <v>137</v>
      </c>
      <c r="DD139" s="31">
        <v>68.5</v>
      </c>
      <c r="DE139" s="40" t="s">
        <v>0</v>
      </c>
    </row>
    <row r="140" spans="107:109" ht="39.950000000000003" hidden="1" customHeight="1" x14ac:dyDescent="0.25">
      <c r="DC140" s="27">
        <v>138</v>
      </c>
      <c r="DD140" s="31">
        <v>69</v>
      </c>
      <c r="DE140" s="40" t="s">
        <v>0</v>
      </c>
    </row>
    <row r="141" spans="107:109" ht="39.950000000000003" hidden="1" customHeight="1" x14ac:dyDescent="0.25">
      <c r="DC141" s="27">
        <v>139</v>
      </c>
      <c r="DD141" s="31">
        <v>69.5</v>
      </c>
      <c r="DE141" s="40" t="s">
        <v>0</v>
      </c>
    </row>
    <row r="142" spans="107:109" ht="39.950000000000003" hidden="1" customHeight="1" x14ac:dyDescent="0.25">
      <c r="DC142" s="27">
        <v>140</v>
      </c>
      <c r="DD142" s="31">
        <v>70</v>
      </c>
      <c r="DE142" s="40" t="s">
        <v>0</v>
      </c>
    </row>
    <row r="143" spans="107:109" ht="39.950000000000003" hidden="1" customHeight="1" x14ac:dyDescent="0.25">
      <c r="DC143" s="27">
        <v>141</v>
      </c>
      <c r="DD143" s="31">
        <v>70.5</v>
      </c>
      <c r="DE143" s="40" t="s">
        <v>0</v>
      </c>
    </row>
    <row r="144" spans="107:109" ht="39.950000000000003" hidden="1" customHeight="1" x14ac:dyDescent="0.25">
      <c r="DC144" s="27">
        <v>142</v>
      </c>
      <c r="DD144" s="31">
        <v>71</v>
      </c>
      <c r="DE144" s="40" t="s">
        <v>0</v>
      </c>
    </row>
    <row r="145" spans="107:109" ht="39.950000000000003" hidden="1" customHeight="1" x14ac:dyDescent="0.25">
      <c r="DC145" s="27">
        <v>143</v>
      </c>
      <c r="DD145" s="31">
        <v>71.5</v>
      </c>
      <c r="DE145" s="40" t="s">
        <v>0</v>
      </c>
    </row>
    <row r="146" spans="107:109" ht="39.950000000000003" hidden="1" customHeight="1" x14ac:dyDescent="0.25">
      <c r="DC146" s="27">
        <v>144</v>
      </c>
      <c r="DD146" s="31">
        <v>72</v>
      </c>
      <c r="DE146" s="40" t="s">
        <v>0</v>
      </c>
    </row>
    <row r="147" spans="107:109" ht="39.950000000000003" hidden="1" customHeight="1" x14ac:dyDescent="0.25">
      <c r="DC147" s="27">
        <v>145</v>
      </c>
      <c r="DD147" s="31">
        <v>72.5</v>
      </c>
      <c r="DE147" s="40" t="s">
        <v>0</v>
      </c>
    </row>
    <row r="148" spans="107:109" ht="39.950000000000003" hidden="1" customHeight="1" x14ac:dyDescent="0.25">
      <c r="DC148" s="27">
        <v>146</v>
      </c>
      <c r="DD148" s="31">
        <v>73</v>
      </c>
      <c r="DE148" s="40" t="s">
        <v>0</v>
      </c>
    </row>
    <row r="149" spans="107:109" ht="39.950000000000003" hidden="1" customHeight="1" x14ac:dyDescent="0.25">
      <c r="DC149" s="27">
        <v>147</v>
      </c>
      <c r="DD149" s="31">
        <v>73.5</v>
      </c>
      <c r="DE149" s="40" t="s">
        <v>0</v>
      </c>
    </row>
    <row r="150" spans="107:109" ht="39.950000000000003" hidden="1" customHeight="1" x14ac:dyDescent="0.25">
      <c r="DC150" s="27">
        <v>148</v>
      </c>
      <c r="DD150" s="31">
        <v>74</v>
      </c>
      <c r="DE150" s="40" t="s">
        <v>0</v>
      </c>
    </row>
    <row r="151" spans="107:109" ht="39.950000000000003" hidden="1" customHeight="1" x14ac:dyDescent="0.25">
      <c r="DC151" s="27">
        <v>149</v>
      </c>
      <c r="DD151" s="31">
        <v>74.5</v>
      </c>
      <c r="DE151" s="40" t="s">
        <v>0</v>
      </c>
    </row>
    <row r="152" spans="107:109" ht="39.950000000000003" hidden="1" customHeight="1" x14ac:dyDescent="0.25">
      <c r="DC152" s="27">
        <v>150</v>
      </c>
      <c r="DD152" s="31">
        <v>75</v>
      </c>
      <c r="DE152" s="40" t="s">
        <v>0</v>
      </c>
    </row>
    <row r="153" spans="107:109" ht="39.950000000000003" hidden="1" customHeight="1" x14ac:dyDescent="0.25">
      <c r="DC153" s="27">
        <v>151</v>
      </c>
      <c r="DD153" s="31">
        <v>75.5</v>
      </c>
      <c r="DE153" s="40" t="s">
        <v>0</v>
      </c>
    </row>
    <row r="154" spans="107:109" ht="39.950000000000003" hidden="1" customHeight="1" x14ac:dyDescent="0.25">
      <c r="DC154" s="27">
        <v>152</v>
      </c>
      <c r="DD154" s="31">
        <v>76</v>
      </c>
      <c r="DE154" s="40" t="s">
        <v>0</v>
      </c>
    </row>
    <row r="155" spans="107:109" ht="39.950000000000003" hidden="1" customHeight="1" x14ac:dyDescent="0.25">
      <c r="DC155" s="27">
        <v>153</v>
      </c>
      <c r="DD155" s="31">
        <v>76.5</v>
      </c>
      <c r="DE155" s="40" t="s">
        <v>0</v>
      </c>
    </row>
    <row r="156" spans="107:109" ht="39.950000000000003" hidden="1" customHeight="1" x14ac:dyDescent="0.25">
      <c r="DC156" s="27">
        <v>154</v>
      </c>
      <c r="DD156" s="31">
        <v>77</v>
      </c>
      <c r="DE156" s="40" t="s">
        <v>0</v>
      </c>
    </row>
    <row r="157" spans="107:109" ht="39.950000000000003" hidden="1" customHeight="1" x14ac:dyDescent="0.25">
      <c r="DC157" s="27">
        <v>155</v>
      </c>
      <c r="DD157" s="31">
        <v>77.5</v>
      </c>
      <c r="DE157" s="40" t="s">
        <v>0</v>
      </c>
    </row>
    <row r="158" spans="107:109" ht="39.950000000000003" hidden="1" customHeight="1" x14ac:dyDescent="0.25">
      <c r="DC158" s="27">
        <v>156</v>
      </c>
      <c r="DD158" s="31">
        <v>78</v>
      </c>
      <c r="DE158" s="40" t="s">
        <v>0</v>
      </c>
    </row>
    <row r="159" spans="107:109" ht="39.950000000000003" hidden="1" customHeight="1" x14ac:dyDescent="0.25">
      <c r="DC159" s="27">
        <v>157</v>
      </c>
      <c r="DD159" s="31">
        <v>78.5</v>
      </c>
      <c r="DE159" s="40" t="s">
        <v>0</v>
      </c>
    </row>
    <row r="160" spans="107:109" ht="39.950000000000003" hidden="1" customHeight="1" x14ac:dyDescent="0.25">
      <c r="DC160" s="27">
        <v>158</v>
      </c>
      <c r="DD160" s="31">
        <v>79</v>
      </c>
      <c r="DE160" s="40" t="s">
        <v>0</v>
      </c>
    </row>
    <row r="161" spans="107:109" ht="39.950000000000003" hidden="1" customHeight="1" x14ac:dyDescent="0.25">
      <c r="DC161" s="27">
        <v>159</v>
      </c>
      <c r="DD161" s="31">
        <v>79.5</v>
      </c>
      <c r="DE161" s="40" t="s">
        <v>0</v>
      </c>
    </row>
    <row r="162" spans="107:109" ht="39.950000000000003" hidden="1" customHeight="1" x14ac:dyDescent="0.25">
      <c r="DC162" s="27">
        <v>160</v>
      </c>
      <c r="DD162" s="31">
        <v>80</v>
      </c>
      <c r="DE162" s="40" t="s">
        <v>0</v>
      </c>
    </row>
    <row r="163" spans="107:109" ht="39.950000000000003" hidden="1" customHeight="1" x14ac:dyDescent="0.25">
      <c r="DC163" s="27">
        <v>161</v>
      </c>
      <c r="DD163" s="31">
        <v>80.5</v>
      </c>
      <c r="DE163" s="40" t="s">
        <v>0</v>
      </c>
    </row>
    <row r="164" spans="107:109" ht="39.950000000000003" hidden="1" customHeight="1" x14ac:dyDescent="0.25">
      <c r="DC164" s="27">
        <v>162</v>
      </c>
      <c r="DD164" s="31">
        <v>81</v>
      </c>
      <c r="DE164" s="40" t="s">
        <v>0</v>
      </c>
    </row>
    <row r="165" spans="107:109" ht="39.950000000000003" hidden="1" customHeight="1" x14ac:dyDescent="0.25">
      <c r="DC165" s="27">
        <v>163</v>
      </c>
      <c r="DD165" s="31">
        <v>81.5</v>
      </c>
      <c r="DE165" s="40" t="s">
        <v>0</v>
      </c>
    </row>
    <row r="166" spans="107:109" ht="39.950000000000003" hidden="1" customHeight="1" x14ac:dyDescent="0.25">
      <c r="DC166" s="27">
        <v>164</v>
      </c>
      <c r="DD166" s="31">
        <v>82</v>
      </c>
      <c r="DE166" s="40" t="s">
        <v>0</v>
      </c>
    </row>
    <row r="167" spans="107:109" ht="39.950000000000003" hidden="1" customHeight="1" x14ac:dyDescent="0.25">
      <c r="DC167" s="27">
        <v>165</v>
      </c>
      <c r="DD167" s="31">
        <v>82.5</v>
      </c>
      <c r="DE167" s="40" t="s">
        <v>0</v>
      </c>
    </row>
    <row r="168" spans="107:109" ht="39.950000000000003" hidden="1" customHeight="1" x14ac:dyDescent="0.25">
      <c r="DC168" s="27">
        <v>166</v>
      </c>
      <c r="DD168" s="31">
        <v>83</v>
      </c>
      <c r="DE168" s="40" t="s">
        <v>0</v>
      </c>
    </row>
    <row r="169" spans="107:109" ht="39.950000000000003" hidden="1" customHeight="1" x14ac:dyDescent="0.25">
      <c r="DC169" s="27">
        <v>167</v>
      </c>
      <c r="DD169" s="31">
        <v>83.5</v>
      </c>
      <c r="DE169" s="40" t="s">
        <v>0</v>
      </c>
    </row>
    <row r="170" spans="107:109" ht="39.950000000000003" hidden="1" customHeight="1" x14ac:dyDescent="0.25">
      <c r="DC170" s="27">
        <v>168</v>
      </c>
      <c r="DD170" s="31">
        <v>84</v>
      </c>
      <c r="DE170" s="40" t="s">
        <v>0</v>
      </c>
    </row>
    <row r="171" spans="107:109" ht="39.950000000000003" hidden="1" customHeight="1" x14ac:dyDescent="0.25">
      <c r="DC171" s="27">
        <v>169</v>
      </c>
      <c r="DD171" s="31">
        <v>84.5</v>
      </c>
      <c r="DE171" s="40" t="s">
        <v>0</v>
      </c>
    </row>
    <row r="172" spans="107:109" ht="39.950000000000003" hidden="1" customHeight="1" x14ac:dyDescent="0.25">
      <c r="DC172" s="27">
        <v>170</v>
      </c>
      <c r="DD172" s="31">
        <v>85</v>
      </c>
      <c r="DE172" s="40" t="s">
        <v>0</v>
      </c>
    </row>
    <row r="173" spans="107:109" ht="39.950000000000003" hidden="1" customHeight="1" x14ac:dyDescent="0.25">
      <c r="DC173" s="27">
        <v>171</v>
      </c>
      <c r="DD173" s="31">
        <v>85.5</v>
      </c>
      <c r="DE173" s="40" t="s">
        <v>0</v>
      </c>
    </row>
    <row r="174" spans="107:109" ht="39.950000000000003" hidden="1" customHeight="1" x14ac:dyDescent="0.25">
      <c r="DC174" s="27">
        <v>172</v>
      </c>
      <c r="DD174" s="31">
        <v>86</v>
      </c>
      <c r="DE174" s="40" t="s">
        <v>0</v>
      </c>
    </row>
    <row r="175" spans="107:109" ht="39.950000000000003" hidden="1" customHeight="1" x14ac:dyDescent="0.25">
      <c r="DC175" s="27">
        <v>173</v>
      </c>
      <c r="DD175" s="31">
        <v>86.5</v>
      </c>
      <c r="DE175" s="40" t="s">
        <v>0</v>
      </c>
    </row>
    <row r="176" spans="107:109" ht="39.950000000000003" hidden="1" customHeight="1" x14ac:dyDescent="0.25">
      <c r="DC176" s="27">
        <v>174</v>
      </c>
      <c r="DD176" s="31">
        <v>87</v>
      </c>
      <c r="DE176" s="40" t="s">
        <v>0</v>
      </c>
    </row>
    <row r="177" spans="107:109" ht="39.950000000000003" hidden="1" customHeight="1" x14ac:dyDescent="0.25">
      <c r="DC177" s="27">
        <v>175</v>
      </c>
      <c r="DD177" s="31">
        <v>87.5</v>
      </c>
      <c r="DE177" s="40" t="s">
        <v>0</v>
      </c>
    </row>
    <row r="178" spans="107:109" ht="39.950000000000003" hidden="1" customHeight="1" x14ac:dyDescent="0.25">
      <c r="DC178" s="27">
        <v>176</v>
      </c>
      <c r="DD178" s="31">
        <v>88</v>
      </c>
      <c r="DE178" s="40" t="s">
        <v>0</v>
      </c>
    </row>
    <row r="179" spans="107:109" ht="39.950000000000003" hidden="1" customHeight="1" x14ac:dyDescent="0.25">
      <c r="DC179" s="27">
        <v>177</v>
      </c>
      <c r="DD179" s="31">
        <v>88.5</v>
      </c>
      <c r="DE179" s="40" t="s">
        <v>0</v>
      </c>
    </row>
    <row r="180" spans="107:109" ht="39.950000000000003" hidden="1" customHeight="1" x14ac:dyDescent="0.25">
      <c r="DC180" s="27">
        <v>178</v>
      </c>
      <c r="DD180" s="31">
        <v>89</v>
      </c>
      <c r="DE180" s="40" t="s">
        <v>0</v>
      </c>
    </row>
    <row r="181" spans="107:109" ht="39.950000000000003" hidden="1" customHeight="1" x14ac:dyDescent="0.25">
      <c r="DC181" s="27">
        <v>179</v>
      </c>
      <c r="DD181" s="31">
        <v>89.5</v>
      </c>
      <c r="DE181" s="40" t="s">
        <v>0</v>
      </c>
    </row>
    <row r="182" spans="107:109" ht="39.950000000000003" hidden="1" customHeight="1" x14ac:dyDescent="0.25">
      <c r="DC182" s="27">
        <v>180</v>
      </c>
      <c r="DD182" s="31">
        <v>90</v>
      </c>
      <c r="DE182" s="40" t="s">
        <v>0</v>
      </c>
    </row>
    <row r="183" spans="107:109" ht="39.950000000000003" hidden="1" customHeight="1" x14ac:dyDescent="0.25">
      <c r="DC183" s="27">
        <v>181</v>
      </c>
      <c r="DD183" s="31">
        <v>90.5</v>
      </c>
      <c r="DE183" s="40" t="s">
        <v>0</v>
      </c>
    </row>
    <row r="184" spans="107:109" ht="39.950000000000003" hidden="1" customHeight="1" x14ac:dyDescent="0.25">
      <c r="DC184" s="27">
        <v>182</v>
      </c>
      <c r="DD184" s="31">
        <v>91</v>
      </c>
      <c r="DE184" s="40" t="s">
        <v>0</v>
      </c>
    </row>
    <row r="185" spans="107:109" ht="39.950000000000003" hidden="1" customHeight="1" x14ac:dyDescent="0.25">
      <c r="DC185" s="27">
        <v>183</v>
      </c>
      <c r="DD185" s="31">
        <v>91.5</v>
      </c>
      <c r="DE185" s="40" t="s">
        <v>0</v>
      </c>
    </row>
    <row r="186" spans="107:109" ht="39.950000000000003" hidden="1" customHeight="1" x14ac:dyDescent="0.25">
      <c r="DC186" s="27">
        <v>184</v>
      </c>
      <c r="DD186" s="31">
        <v>92</v>
      </c>
      <c r="DE186" s="40" t="s">
        <v>0</v>
      </c>
    </row>
    <row r="187" spans="107:109" ht="39.950000000000003" hidden="1" customHeight="1" x14ac:dyDescent="0.25">
      <c r="DC187" s="27">
        <v>185</v>
      </c>
      <c r="DD187" s="31">
        <v>92.5</v>
      </c>
      <c r="DE187" s="40" t="s">
        <v>0</v>
      </c>
    </row>
    <row r="188" spans="107:109" ht="39.950000000000003" hidden="1" customHeight="1" x14ac:dyDescent="0.25">
      <c r="DC188" s="27">
        <v>186</v>
      </c>
      <c r="DD188" s="31">
        <v>93</v>
      </c>
      <c r="DE188" s="40" t="s">
        <v>0</v>
      </c>
    </row>
    <row r="189" spans="107:109" ht="39.950000000000003" hidden="1" customHeight="1" x14ac:dyDescent="0.25">
      <c r="DC189" s="27">
        <v>187</v>
      </c>
      <c r="DD189" s="31">
        <v>93.5</v>
      </c>
      <c r="DE189" s="40" t="s">
        <v>0</v>
      </c>
    </row>
    <row r="190" spans="107:109" ht="39.950000000000003" hidden="1" customHeight="1" x14ac:dyDescent="0.25">
      <c r="DC190" s="27">
        <v>188</v>
      </c>
      <c r="DD190" s="31">
        <v>94</v>
      </c>
      <c r="DE190" s="40" t="s">
        <v>0</v>
      </c>
    </row>
    <row r="191" spans="107:109" ht="39.950000000000003" hidden="1" customHeight="1" x14ac:dyDescent="0.25">
      <c r="DC191" s="27">
        <v>189</v>
      </c>
      <c r="DD191" s="31">
        <v>94.5</v>
      </c>
      <c r="DE191" s="40" t="s">
        <v>0</v>
      </c>
    </row>
    <row r="192" spans="107:109" ht="39.950000000000003" hidden="1" customHeight="1" x14ac:dyDescent="0.25">
      <c r="DC192" s="27">
        <v>190</v>
      </c>
      <c r="DD192" s="31">
        <v>95</v>
      </c>
      <c r="DE192" s="40" t="s">
        <v>0</v>
      </c>
    </row>
    <row r="193" spans="107:109" ht="39.950000000000003" hidden="1" customHeight="1" x14ac:dyDescent="0.25">
      <c r="DC193" s="27">
        <v>191</v>
      </c>
      <c r="DD193" s="31">
        <v>95.5</v>
      </c>
      <c r="DE193" s="40" t="s">
        <v>0</v>
      </c>
    </row>
    <row r="194" spans="107:109" ht="39.950000000000003" hidden="1" customHeight="1" x14ac:dyDescent="0.25">
      <c r="DC194" s="27">
        <v>192</v>
      </c>
      <c r="DD194" s="31">
        <v>96</v>
      </c>
      <c r="DE194" s="40" t="s">
        <v>0</v>
      </c>
    </row>
    <row r="195" spans="107:109" ht="39.950000000000003" hidden="1" customHeight="1" x14ac:dyDescent="0.25">
      <c r="DC195" s="27">
        <v>193</v>
      </c>
      <c r="DD195" s="31">
        <v>96.5</v>
      </c>
      <c r="DE195" s="40" t="s">
        <v>0</v>
      </c>
    </row>
    <row r="196" spans="107:109" ht="39.950000000000003" hidden="1" customHeight="1" x14ac:dyDescent="0.25">
      <c r="DC196" s="27">
        <v>194</v>
      </c>
      <c r="DD196" s="31">
        <v>97</v>
      </c>
      <c r="DE196" s="40" t="s">
        <v>0</v>
      </c>
    </row>
    <row r="197" spans="107:109" ht="39.950000000000003" hidden="1" customHeight="1" x14ac:dyDescent="0.25">
      <c r="DC197" s="27">
        <v>195</v>
      </c>
      <c r="DD197" s="31">
        <v>97.5</v>
      </c>
      <c r="DE197" s="40" t="s">
        <v>0</v>
      </c>
    </row>
    <row r="198" spans="107:109" ht="39.950000000000003" hidden="1" customHeight="1" x14ac:dyDescent="0.25">
      <c r="DC198" s="27">
        <v>196</v>
      </c>
      <c r="DD198" s="31">
        <v>98</v>
      </c>
      <c r="DE198" s="40" t="s">
        <v>0</v>
      </c>
    </row>
    <row r="199" spans="107:109" ht="39.950000000000003" hidden="1" customHeight="1" x14ac:dyDescent="0.25">
      <c r="DC199" s="27">
        <v>197</v>
      </c>
      <c r="DD199" s="31">
        <v>98.5</v>
      </c>
      <c r="DE199" s="40" t="s">
        <v>0</v>
      </c>
    </row>
    <row r="200" spans="107:109" ht="39.950000000000003" hidden="1" customHeight="1" x14ac:dyDescent="0.25">
      <c r="DC200" s="27">
        <v>198</v>
      </c>
      <c r="DD200" s="31">
        <v>99</v>
      </c>
      <c r="DE200" s="40" t="s">
        <v>0</v>
      </c>
    </row>
    <row r="201" spans="107:109" ht="39.950000000000003" hidden="1" customHeight="1" x14ac:dyDescent="0.25">
      <c r="DC201" s="27">
        <v>199</v>
      </c>
      <c r="DD201" s="31">
        <v>99.5</v>
      </c>
      <c r="DE201" s="40" t="s">
        <v>0</v>
      </c>
    </row>
    <row r="202" spans="107:109" ht="39.950000000000003" hidden="1" customHeight="1" x14ac:dyDescent="0.25">
      <c r="DC202" s="27">
        <v>200</v>
      </c>
      <c r="DD202" s="31">
        <v>100</v>
      </c>
      <c r="DE202" s="40" t="s">
        <v>0</v>
      </c>
    </row>
    <row r="203" spans="107:109" ht="39.950000000000003" hidden="1" customHeight="1" x14ac:dyDescent="0.25">
      <c r="DC203" s="27">
        <v>201</v>
      </c>
      <c r="DD203" s="31">
        <v>100.5</v>
      </c>
      <c r="DE203" s="40" t="s">
        <v>0</v>
      </c>
    </row>
    <row r="204" spans="107:109" ht="39.950000000000003" hidden="1" customHeight="1" x14ac:dyDescent="0.25">
      <c r="DC204" s="27">
        <v>202</v>
      </c>
      <c r="DD204" s="31">
        <v>101</v>
      </c>
      <c r="DE204" s="40" t="s">
        <v>0</v>
      </c>
    </row>
    <row r="205" spans="107:109" ht="39.950000000000003" hidden="1" customHeight="1" x14ac:dyDescent="0.25">
      <c r="DC205" s="27">
        <v>203</v>
      </c>
      <c r="DD205" s="31">
        <v>101.5</v>
      </c>
      <c r="DE205" s="40" t="s">
        <v>0</v>
      </c>
    </row>
    <row r="206" spans="107:109" ht="39.950000000000003" hidden="1" customHeight="1" x14ac:dyDescent="0.25">
      <c r="DC206" s="27">
        <v>204</v>
      </c>
      <c r="DD206" s="31">
        <v>102</v>
      </c>
      <c r="DE206" s="40" t="s">
        <v>0</v>
      </c>
    </row>
    <row r="207" spans="107:109" ht="39.950000000000003" hidden="1" customHeight="1" x14ac:dyDescent="0.25">
      <c r="DC207" s="27">
        <v>205</v>
      </c>
      <c r="DD207" s="31">
        <v>102.5</v>
      </c>
      <c r="DE207" s="40" t="s">
        <v>0</v>
      </c>
    </row>
    <row r="208" spans="107:109" ht="39.950000000000003" hidden="1" customHeight="1" x14ac:dyDescent="0.25">
      <c r="DC208" s="27">
        <v>206</v>
      </c>
      <c r="DD208" s="31">
        <v>103</v>
      </c>
      <c r="DE208" s="40" t="s">
        <v>0</v>
      </c>
    </row>
    <row r="209" spans="107:109" ht="39.950000000000003" hidden="1" customHeight="1" x14ac:dyDescent="0.25">
      <c r="DC209" s="27">
        <v>207</v>
      </c>
      <c r="DD209" s="31">
        <v>103.5</v>
      </c>
      <c r="DE209" s="40" t="s">
        <v>0</v>
      </c>
    </row>
    <row r="210" spans="107:109" ht="39.950000000000003" hidden="1" customHeight="1" x14ac:dyDescent="0.25">
      <c r="DC210" s="27">
        <v>208</v>
      </c>
      <c r="DD210" s="31">
        <v>104</v>
      </c>
      <c r="DE210" s="40" t="s">
        <v>0</v>
      </c>
    </row>
    <row r="211" spans="107:109" ht="39.950000000000003" hidden="1" customHeight="1" x14ac:dyDescent="0.25">
      <c r="DC211" s="27">
        <v>209</v>
      </c>
      <c r="DD211" s="31">
        <v>104.5</v>
      </c>
      <c r="DE211" s="40" t="s">
        <v>0</v>
      </c>
    </row>
    <row r="212" spans="107:109" ht="39.950000000000003" hidden="1" customHeight="1" x14ac:dyDescent="0.25">
      <c r="DC212" s="27">
        <v>210</v>
      </c>
      <c r="DD212" s="31">
        <v>105</v>
      </c>
      <c r="DE212" s="40" t="s">
        <v>0</v>
      </c>
    </row>
    <row r="213" spans="107:109" ht="39.950000000000003" hidden="1" customHeight="1" x14ac:dyDescent="0.25">
      <c r="DC213" s="27">
        <v>211</v>
      </c>
      <c r="DD213" s="31">
        <v>105.5</v>
      </c>
      <c r="DE213" s="40" t="s">
        <v>0</v>
      </c>
    </row>
    <row r="214" spans="107:109" ht="39.950000000000003" hidden="1" customHeight="1" x14ac:dyDescent="0.25">
      <c r="DC214" s="27">
        <v>212</v>
      </c>
      <c r="DD214" s="31">
        <v>106</v>
      </c>
      <c r="DE214" s="40" t="s">
        <v>0</v>
      </c>
    </row>
    <row r="215" spans="107:109" ht="39.950000000000003" hidden="1" customHeight="1" x14ac:dyDescent="0.25">
      <c r="DC215" s="27">
        <v>213</v>
      </c>
      <c r="DD215" s="31">
        <v>106.5</v>
      </c>
      <c r="DE215" s="40" t="s">
        <v>0</v>
      </c>
    </row>
    <row r="216" spans="107:109" ht="39.950000000000003" hidden="1" customHeight="1" x14ac:dyDescent="0.25">
      <c r="DC216" s="27">
        <v>214</v>
      </c>
      <c r="DD216" s="31">
        <v>107</v>
      </c>
      <c r="DE216" s="40" t="s">
        <v>0</v>
      </c>
    </row>
    <row r="217" spans="107:109" ht="39.950000000000003" hidden="1" customHeight="1" x14ac:dyDescent="0.25">
      <c r="DC217" s="27">
        <v>215</v>
      </c>
      <c r="DD217" s="31">
        <v>107.5</v>
      </c>
      <c r="DE217" s="40" t="s">
        <v>0</v>
      </c>
    </row>
    <row r="218" spans="107:109" ht="39.950000000000003" hidden="1" customHeight="1" x14ac:dyDescent="0.25">
      <c r="DC218" s="27">
        <v>216</v>
      </c>
      <c r="DD218" s="31">
        <v>108</v>
      </c>
      <c r="DE218" s="40" t="s">
        <v>0</v>
      </c>
    </row>
    <row r="219" spans="107:109" ht="39.950000000000003" hidden="1" customHeight="1" x14ac:dyDescent="0.25">
      <c r="DC219" s="27">
        <v>217</v>
      </c>
      <c r="DD219" s="31">
        <v>108.5</v>
      </c>
      <c r="DE219" s="40" t="s">
        <v>0</v>
      </c>
    </row>
    <row r="220" spans="107:109" ht="39.950000000000003" hidden="1" customHeight="1" x14ac:dyDescent="0.25">
      <c r="DC220" s="27">
        <v>218</v>
      </c>
      <c r="DD220" s="31">
        <v>109</v>
      </c>
      <c r="DE220" s="40" t="s">
        <v>0</v>
      </c>
    </row>
    <row r="221" spans="107:109" ht="39.950000000000003" hidden="1" customHeight="1" x14ac:dyDescent="0.25">
      <c r="DC221" s="27">
        <v>219</v>
      </c>
      <c r="DD221" s="31">
        <v>109.5</v>
      </c>
      <c r="DE221" s="40" t="s">
        <v>0</v>
      </c>
    </row>
    <row r="222" spans="107:109" ht="39.950000000000003" hidden="1" customHeight="1" x14ac:dyDescent="0.25">
      <c r="DC222" s="27">
        <v>220</v>
      </c>
      <c r="DD222" s="31">
        <v>110</v>
      </c>
      <c r="DE222" s="40" t="s">
        <v>0</v>
      </c>
    </row>
    <row r="223" spans="107:109" ht="39.950000000000003" hidden="1" customHeight="1" x14ac:dyDescent="0.25">
      <c r="DC223" s="27">
        <v>221</v>
      </c>
      <c r="DD223" s="31">
        <v>110.5</v>
      </c>
      <c r="DE223" s="40" t="s">
        <v>0</v>
      </c>
    </row>
    <row r="224" spans="107:109" ht="39.950000000000003" hidden="1" customHeight="1" x14ac:dyDescent="0.25">
      <c r="DC224" s="27">
        <v>222</v>
      </c>
      <c r="DD224" s="31">
        <v>111</v>
      </c>
      <c r="DE224" s="40" t="s">
        <v>0</v>
      </c>
    </row>
    <row r="225" spans="107:109" ht="39.950000000000003" hidden="1" customHeight="1" x14ac:dyDescent="0.25">
      <c r="DC225" s="27">
        <v>223</v>
      </c>
      <c r="DD225" s="31">
        <v>111.5</v>
      </c>
      <c r="DE225" s="40" t="s">
        <v>0</v>
      </c>
    </row>
    <row r="226" spans="107:109" ht="39.950000000000003" hidden="1" customHeight="1" x14ac:dyDescent="0.25">
      <c r="DC226" s="27">
        <v>224</v>
      </c>
      <c r="DD226" s="31">
        <v>112</v>
      </c>
      <c r="DE226" s="40" t="s">
        <v>0</v>
      </c>
    </row>
    <row r="227" spans="107:109" ht="39.950000000000003" hidden="1" customHeight="1" x14ac:dyDescent="0.25">
      <c r="DC227" s="27">
        <v>225</v>
      </c>
      <c r="DD227" s="31">
        <v>112.5</v>
      </c>
      <c r="DE227" s="40" t="s">
        <v>0</v>
      </c>
    </row>
    <row r="228" spans="107:109" ht="39.950000000000003" hidden="1" customHeight="1" x14ac:dyDescent="0.25">
      <c r="DC228" s="27">
        <v>226</v>
      </c>
      <c r="DD228" s="31">
        <v>113</v>
      </c>
      <c r="DE228" s="40" t="s">
        <v>0</v>
      </c>
    </row>
    <row r="229" spans="107:109" ht="39.950000000000003" hidden="1" customHeight="1" x14ac:dyDescent="0.25">
      <c r="DC229" s="27">
        <v>227</v>
      </c>
      <c r="DD229" s="31">
        <v>113.5</v>
      </c>
      <c r="DE229" s="40" t="s">
        <v>0</v>
      </c>
    </row>
    <row r="230" spans="107:109" ht="39.950000000000003" hidden="1" customHeight="1" x14ac:dyDescent="0.25">
      <c r="DC230" s="27">
        <v>228</v>
      </c>
      <c r="DD230" s="31">
        <v>114</v>
      </c>
      <c r="DE230" s="40" t="s">
        <v>0</v>
      </c>
    </row>
    <row r="231" spans="107:109" ht="39.950000000000003" hidden="1" customHeight="1" x14ac:dyDescent="0.25">
      <c r="DC231" s="27">
        <v>229</v>
      </c>
      <c r="DD231" s="31">
        <v>114.5</v>
      </c>
      <c r="DE231" s="40" t="s">
        <v>0</v>
      </c>
    </row>
    <row r="232" spans="107:109" ht="39.950000000000003" hidden="1" customHeight="1" x14ac:dyDescent="0.25">
      <c r="DC232" s="27">
        <v>230</v>
      </c>
      <c r="DD232" s="31">
        <v>115</v>
      </c>
      <c r="DE232" s="40" t="s">
        <v>0</v>
      </c>
    </row>
    <row r="233" spans="107:109" ht="39.950000000000003" hidden="1" customHeight="1" x14ac:dyDescent="0.25">
      <c r="DC233" s="27">
        <v>231</v>
      </c>
      <c r="DD233" s="31">
        <v>115.5</v>
      </c>
      <c r="DE233" s="40" t="s">
        <v>0</v>
      </c>
    </row>
    <row r="234" spans="107:109" ht="39.950000000000003" hidden="1" customHeight="1" x14ac:dyDescent="0.25">
      <c r="DC234" s="27">
        <v>232</v>
      </c>
      <c r="DD234" s="31">
        <v>116</v>
      </c>
      <c r="DE234" s="40" t="s">
        <v>0</v>
      </c>
    </row>
    <row r="235" spans="107:109" ht="39.950000000000003" hidden="1" customHeight="1" x14ac:dyDescent="0.25">
      <c r="DC235" s="27">
        <v>233</v>
      </c>
      <c r="DD235" s="31">
        <v>116.5</v>
      </c>
      <c r="DE235" s="40" t="s">
        <v>0</v>
      </c>
    </row>
    <row r="236" spans="107:109" ht="39.950000000000003" hidden="1" customHeight="1" x14ac:dyDescent="0.25">
      <c r="DC236" s="27">
        <v>234</v>
      </c>
      <c r="DD236" s="31">
        <v>117</v>
      </c>
      <c r="DE236" s="40" t="s">
        <v>0</v>
      </c>
    </row>
    <row r="237" spans="107:109" ht="39.950000000000003" hidden="1" customHeight="1" x14ac:dyDescent="0.25">
      <c r="DC237" s="27">
        <v>235</v>
      </c>
      <c r="DD237" s="31">
        <v>117.5</v>
      </c>
      <c r="DE237" s="40" t="s">
        <v>0</v>
      </c>
    </row>
    <row r="238" spans="107:109" ht="39.950000000000003" hidden="1" customHeight="1" x14ac:dyDescent="0.25">
      <c r="DC238" s="27">
        <v>236</v>
      </c>
      <c r="DD238" s="31">
        <v>118</v>
      </c>
      <c r="DE238" s="40" t="s">
        <v>0</v>
      </c>
    </row>
    <row r="239" spans="107:109" ht="39.950000000000003" hidden="1" customHeight="1" x14ac:dyDescent="0.25">
      <c r="DC239" s="27">
        <v>237</v>
      </c>
      <c r="DD239" s="31">
        <v>118.5</v>
      </c>
      <c r="DE239" s="40" t="s">
        <v>0</v>
      </c>
    </row>
    <row r="240" spans="107:109" ht="39.950000000000003" hidden="1" customHeight="1" x14ac:dyDescent="0.25">
      <c r="DC240" s="27">
        <v>238</v>
      </c>
      <c r="DD240" s="31">
        <v>119</v>
      </c>
      <c r="DE240" s="40" t="s">
        <v>0</v>
      </c>
    </row>
    <row r="241" spans="1:109" ht="39.950000000000003" hidden="1" customHeight="1" x14ac:dyDescent="0.25">
      <c r="DC241" s="27">
        <v>239</v>
      </c>
      <c r="DD241" s="31">
        <v>119.5</v>
      </c>
      <c r="DE241" s="40" t="s">
        <v>0</v>
      </c>
    </row>
    <row r="242" spans="1:109" ht="39.950000000000003" hidden="1" customHeight="1" x14ac:dyDescent="0.25">
      <c r="DC242" s="27">
        <v>240</v>
      </c>
      <c r="DD242" s="31">
        <v>120</v>
      </c>
      <c r="DE242" s="40" t="s">
        <v>0</v>
      </c>
    </row>
    <row r="243" spans="1:109" ht="39.950000000000003" hidden="1" customHeight="1" x14ac:dyDescent="0.25">
      <c r="DC243" s="27">
        <v>241</v>
      </c>
      <c r="DD243" s="31">
        <v>120.5</v>
      </c>
      <c r="DE243" s="40" t="s">
        <v>0</v>
      </c>
    </row>
    <row r="244" spans="1:109" ht="39.950000000000003" hidden="1" customHeight="1" x14ac:dyDescent="0.25">
      <c r="DC244" s="27">
        <v>242</v>
      </c>
      <c r="DD244" s="31">
        <v>121</v>
      </c>
      <c r="DE244" s="40" t="s">
        <v>0</v>
      </c>
    </row>
    <row r="245" spans="1:109" ht="39.950000000000003" hidden="1" customHeight="1" x14ac:dyDescent="0.25">
      <c r="DC245" s="27">
        <v>243</v>
      </c>
      <c r="DD245" s="31">
        <v>121.5</v>
      </c>
      <c r="DE245" s="40" t="s">
        <v>0</v>
      </c>
    </row>
    <row r="246" spans="1:109" ht="39.950000000000003" hidden="1" customHeight="1" x14ac:dyDescent="0.25">
      <c r="DC246" s="27">
        <v>244</v>
      </c>
      <c r="DD246" s="31">
        <v>122</v>
      </c>
      <c r="DE246" s="40" t="s">
        <v>0</v>
      </c>
    </row>
    <row r="247" spans="1:109" ht="39.950000000000003" hidden="1" customHeight="1" x14ac:dyDescent="0.25">
      <c r="DC247" s="27">
        <v>245</v>
      </c>
      <c r="DD247" s="31">
        <v>122.5</v>
      </c>
      <c r="DE247" s="40" t="s">
        <v>0</v>
      </c>
    </row>
    <row r="248" spans="1:109" ht="39.950000000000003" hidden="1" customHeight="1" x14ac:dyDescent="0.25">
      <c r="DC248" s="27">
        <v>246</v>
      </c>
      <c r="DD248" s="31">
        <v>123</v>
      </c>
      <c r="DE248" s="40" t="s">
        <v>0</v>
      </c>
    </row>
    <row r="249" spans="1:109" ht="39.950000000000003" hidden="1" customHeight="1" x14ac:dyDescent="0.25">
      <c r="DC249" s="27">
        <v>247</v>
      </c>
      <c r="DD249" s="31">
        <v>123.5</v>
      </c>
      <c r="DE249" s="40" t="s">
        <v>0</v>
      </c>
    </row>
    <row r="250" spans="1:109" ht="39.950000000000003" hidden="1" customHeight="1" x14ac:dyDescent="0.25">
      <c r="DC250" s="27">
        <v>248</v>
      </c>
      <c r="DD250" s="31">
        <v>124</v>
      </c>
      <c r="DE250" s="40" t="s">
        <v>0</v>
      </c>
    </row>
    <row r="251" spans="1:109" ht="39.950000000000003" hidden="1" customHeight="1" x14ac:dyDescent="0.25">
      <c r="DC251" s="27">
        <v>249</v>
      </c>
      <c r="DD251" s="31">
        <v>124.5</v>
      </c>
      <c r="DE251" s="40" t="s">
        <v>0</v>
      </c>
    </row>
    <row r="252" spans="1:109" ht="39.950000000000003" hidden="1" customHeight="1" x14ac:dyDescent="0.25">
      <c r="DC252" s="27">
        <v>250</v>
      </c>
      <c r="DD252" s="31">
        <v>125</v>
      </c>
      <c r="DE252" s="40" t="s">
        <v>0</v>
      </c>
    </row>
    <row r="253" spans="1:109" ht="39.950000000000003" hidden="1" customHeight="1" x14ac:dyDescent="0.25">
      <c r="DC253" s="27">
        <v>251</v>
      </c>
      <c r="DD253" s="31">
        <v>125.5</v>
      </c>
      <c r="DE253" s="40" t="s">
        <v>0</v>
      </c>
    </row>
    <row r="254" spans="1:109" s="13" customFormat="1" ht="39.950000000000003" hidden="1" customHeight="1" x14ac:dyDescent="0.25">
      <c r="A254" s="2"/>
      <c r="B254" s="2"/>
      <c r="C254" s="2"/>
      <c r="D254" s="2"/>
      <c r="E254" s="2"/>
      <c r="F254" s="2"/>
      <c r="G254" s="2"/>
      <c r="H254" s="2"/>
      <c r="I254" s="2"/>
      <c r="J254" s="2"/>
      <c r="K254" s="2"/>
      <c r="L254" s="2"/>
      <c r="M254" s="2"/>
      <c r="N254" s="2"/>
      <c r="O254" s="2"/>
      <c r="P254" s="2"/>
      <c r="Q254" s="2"/>
      <c r="R254" s="2"/>
      <c r="S254" s="2"/>
      <c r="T254" s="19"/>
      <c r="U254" s="19"/>
      <c r="V254" s="19"/>
      <c r="W254" s="1"/>
      <c r="X254" s="2"/>
      <c r="Y254" s="53"/>
      <c r="Z254" s="53"/>
      <c r="AA254" s="1"/>
      <c r="AB254" s="1"/>
      <c r="AC254" s="1"/>
      <c r="AD254" s="1"/>
      <c r="AE254" s="27"/>
      <c r="AF254" s="27"/>
      <c r="AG254" s="27"/>
      <c r="AH254" s="27"/>
      <c r="AI254" s="27"/>
      <c r="AJ254" s="27"/>
      <c r="AK254" s="27"/>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v>252</v>
      </c>
      <c r="DD254" s="31">
        <v>126</v>
      </c>
      <c r="DE254" s="40" t="s">
        <v>0</v>
      </c>
    </row>
    <row r="255" spans="1:109" s="13" customFormat="1" ht="39.950000000000003" hidden="1" customHeight="1" x14ac:dyDescent="0.25">
      <c r="A255" s="2"/>
      <c r="B255" s="2"/>
      <c r="C255" s="2"/>
      <c r="D255" s="2"/>
      <c r="E255" s="2"/>
      <c r="F255" s="2"/>
      <c r="G255" s="2"/>
      <c r="H255" s="2"/>
      <c r="I255" s="2"/>
      <c r="J255" s="2"/>
      <c r="K255" s="2"/>
      <c r="L255" s="2"/>
      <c r="M255" s="2"/>
      <c r="N255" s="2"/>
      <c r="O255" s="2"/>
      <c r="P255" s="2"/>
      <c r="Q255" s="2"/>
      <c r="R255" s="2"/>
      <c r="S255" s="2"/>
      <c r="T255" s="19"/>
      <c r="U255" s="19"/>
      <c r="V255" s="19"/>
      <c r="W255" s="1"/>
      <c r="X255" s="2"/>
      <c r="Y255" s="53"/>
      <c r="Z255" s="53"/>
      <c r="AA255" s="1"/>
      <c r="AB255" s="1"/>
      <c r="AC255" s="1"/>
      <c r="AD255" s="1"/>
      <c r="AE255" s="27"/>
      <c r="AF255" s="27"/>
      <c r="AG255" s="27"/>
      <c r="AH255" s="27"/>
      <c r="AI255" s="27"/>
      <c r="AJ255" s="27"/>
      <c r="AK255" s="27"/>
      <c r="AL255" s="27"/>
      <c r="AM255" s="27"/>
      <c r="AN255" s="27"/>
      <c r="AO255" s="27"/>
      <c r="AP255" s="27"/>
      <c r="AQ255" s="27"/>
      <c r="AR255" s="27"/>
      <c r="AS255" s="27"/>
      <c r="AT255" s="27"/>
      <c r="AU255" s="27"/>
      <c r="AV255" s="27"/>
      <c r="AW255" s="27"/>
      <c r="AX255" s="27"/>
      <c r="AY255" s="27"/>
      <c r="AZ255" s="27"/>
      <c r="BA255" s="27"/>
      <c r="BB255" s="27"/>
      <c r="BC255" s="27"/>
      <c r="BD255" s="27"/>
      <c r="BE255" s="27"/>
      <c r="BF255" s="27"/>
      <c r="BG255" s="27"/>
      <c r="BH255" s="27"/>
      <c r="BI255" s="27"/>
      <c r="BJ255" s="27"/>
      <c r="BK255" s="27"/>
      <c r="BL255" s="27"/>
      <c r="BM255" s="27"/>
      <c r="BN255" s="27"/>
      <c r="BO255" s="27"/>
      <c r="BP255" s="27"/>
      <c r="BQ255" s="27"/>
      <c r="BR255" s="27"/>
      <c r="BS255" s="27"/>
      <c r="BT255" s="27"/>
      <c r="BU255" s="27"/>
      <c r="BV255" s="27"/>
      <c r="BW255" s="27"/>
      <c r="BX255" s="27"/>
      <c r="BY255" s="27"/>
      <c r="BZ255" s="27"/>
      <c r="CA255" s="27"/>
      <c r="CB255" s="27"/>
      <c r="CC255" s="27"/>
      <c r="CD255" s="27"/>
      <c r="CE255" s="27"/>
      <c r="CF255" s="27"/>
      <c r="CG255" s="27"/>
      <c r="CH255" s="27"/>
      <c r="CI255" s="27"/>
      <c r="CJ255" s="27"/>
      <c r="CK255" s="27"/>
      <c r="CL255" s="27"/>
      <c r="CM255" s="27"/>
      <c r="CN255" s="27"/>
      <c r="CO255" s="27"/>
      <c r="CP255" s="27"/>
      <c r="CQ255" s="27"/>
      <c r="CR255" s="27"/>
      <c r="CS255" s="27"/>
      <c r="CT255" s="27"/>
      <c r="CU255" s="27"/>
      <c r="CV255" s="27"/>
      <c r="CW255" s="27"/>
      <c r="CX255" s="27"/>
      <c r="CY255" s="27"/>
      <c r="CZ255" s="27"/>
      <c r="DA255" s="27"/>
      <c r="DB255" s="27"/>
      <c r="DC255" s="27">
        <v>253</v>
      </c>
      <c r="DD255" s="31">
        <v>126.5</v>
      </c>
      <c r="DE255" s="40" t="s">
        <v>0</v>
      </c>
    </row>
    <row r="256" spans="1:109" s="13" customFormat="1" ht="39.950000000000003" hidden="1" customHeight="1" x14ac:dyDescent="0.25">
      <c r="A256" s="2"/>
      <c r="B256" s="2"/>
      <c r="C256" s="2"/>
      <c r="D256" s="2"/>
      <c r="E256" s="2"/>
      <c r="F256" s="2"/>
      <c r="G256" s="2"/>
      <c r="H256" s="2"/>
      <c r="I256" s="2"/>
      <c r="J256" s="2"/>
      <c r="K256" s="2"/>
      <c r="L256" s="2"/>
      <c r="M256" s="2"/>
      <c r="N256" s="2"/>
      <c r="O256" s="2"/>
      <c r="P256" s="2"/>
      <c r="Q256" s="2"/>
      <c r="R256" s="2"/>
      <c r="S256" s="2"/>
      <c r="T256" s="19"/>
      <c r="U256" s="19"/>
      <c r="V256" s="19"/>
      <c r="W256" s="1"/>
      <c r="X256" s="2"/>
      <c r="Y256" s="53"/>
      <c r="Z256" s="53"/>
      <c r="AA256" s="1"/>
      <c r="AB256" s="1"/>
      <c r="AC256" s="1"/>
      <c r="AD256" s="1"/>
      <c r="AE256" s="27"/>
      <c r="AF256" s="27"/>
      <c r="AG256" s="27"/>
      <c r="AH256" s="27"/>
      <c r="AI256" s="27"/>
      <c r="AJ256" s="27"/>
      <c r="AK256" s="27"/>
      <c r="AL256" s="27"/>
      <c r="AM256" s="27"/>
      <c r="AN256" s="27"/>
      <c r="AO256" s="27"/>
      <c r="AP256" s="27"/>
      <c r="AQ256" s="27"/>
      <c r="AR256" s="27"/>
      <c r="AS256" s="27"/>
      <c r="AT256" s="27"/>
      <c r="AU256" s="27"/>
      <c r="AV256" s="27"/>
      <c r="AW256" s="27"/>
      <c r="AX256" s="27"/>
      <c r="AY256" s="27"/>
      <c r="AZ256" s="27"/>
      <c r="BA256" s="27"/>
      <c r="BB256" s="27"/>
      <c r="BC256" s="27"/>
      <c r="BD256" s="27"/>
      <c r="BE256" s="27"/>
      <c r="BF256" s="27"/>
      <c r="BG256" s="27"/>
      <c r="BH256" s="27"/>
      <c r="BI256" s="27"/>
      <c r="BJ256" s="27"/>
      <c r="BK256" s="27"/>
      <c r="BL256" s="27"/>
      <c r="BM256" s="27"/>
      <c r="BN256" s="27"/>
      <c r="BO256" s="27"/>
      <c r="BP256" s="27"/>
      <c r="BQ256" s="27"/>
      <c r="BR256" s="27"/>
      <c r="BS256" s="27"/>
      <c r="BT256" s="27"/>
      <c r="BU256" s="27"/>
      <c r="BV256" s="27"/>
      <c r="BW256" s="27"/>
      <c r="BX256" s="27"/>
      <c r="BY256" s="27"/>
      <c r="BZ256" s="27"/>
      <c r="CA256" s="27"/>
      <c r="CB256" s="27"/>
      <c r="CC256" s="27"/>
      <c r="CD256" s="27"/>
      <c r="CE256" s="27"/>
      <c r="CF256" s="27"/>
      <c r="CG256" s="27"/>
      <c r="CH256" s="27"/>
      <c r="CI256" s="27"/>
      <c r="CJ256" s="27"/>
      <c r="CK256" s="27"/>
      <c r="CL256" s="27"/>
      <c r="CM256" s="27"/>
      <c r="CN256" s="27"/>
      <c r="CO256" s="27"/>
      <c r="CP256" s="27"/>
      <c r="CQ256" s="27"/>
      <c r="CR256" s="27"/>
      <c r="CS256" s="27"/>
      <c r="CT256" s="27"/>
      <c r="CU256" s="27"/>
      <c r="CV256" s="27"/>
      <c r="CW256" s="27"/>
      <c r="CX256" s="27"/>
      <c r="CY256" s="27"/>
      <c r="CZ256" s="27"/>
      <c r="DA256" s="27"/>
      <c r="DB256" s="27"/>
      <c r="DC256" s="27">
        <v>254</v>
      </c>
      <c r="DD256" s="31">
        <v>127</v>
      </c>
      <c r="DE256" s="40" t="s">
        <v>0</v>
      </c>
    </row>
    <row r="257" spans="1:109" s="13" customFormat="1" ht="39.950000000000003" hidden="1" customHeight="1" x14ac:dyDescent="0.25">
      <c r="A257" s="2"/>
      <c r="B257" s="2"/>
      <c r="C257" s="2"/>
      <c r="D257" s="2"/>
      <c r="E257" s="2"/>
      <c r="F257" s="2"/>
      <c r="G257" s="2"/>
      <c r="H257" s="2"/>
      <c r="I257" s="2"/>
      <c r="J257" s="2"/>
      <c r="K257" s="2"/>
      <c r="L257" s="2"/>
      <c r="M257" s="2"/>
      <c r="N257" s="2"/>
      <c r="O257" s="2"/>
      <c r="P257" s="2"/>
      <c r="Q257" s="2"/>
      <c r="R257" s="2"/>
      <c r="S257" s="2"/>
      <c r="T257" s="19"/>
      <c r="U257" s="19"/>
      <c r="V257" s="19"/>
      <c r="W257" s="1"/>
      <c r="X257" s="2"/>
      <c r="Y257" s="53"/>
      <c r="Z257" s="53"/>
      <c r="AA257" s="1"/>
      <c r="AB257" s="1"/>
      <c r="AC257" s="1"/>
      <c r="AD257" s="1"/>
      <c r="AE257" s="27"/>
      <c r="AF257" s="27"/>
      <c r="AG257" s="27"/>
      <c r="AH257" s="27"/>
      <c r="AI257" s="27"/>
      <c r="AJ257" s="27"/>
      <c r="AK257" s="27"/>
      <c r="AL257" s="27"/>
      <c r="AM257" s="27"/>
      <c r="AN257" s="27"/>
      <c r="AO257" s="27"/>
      <c r="AP257" s="27"/>
      <c r="AQ257" s="27"/>
      <c r="AR257" s="27"/>
      <c r="AS257" s="27"/>
      <c r="AT257" s="27"/>
      <c r="AU257" s="27"/>
      <c r="AV257" s="27"/>
      <c r="AW257" s="27"/>
      <c r="AX257" s="27"/>
      <c r="AY257" s="27"/>
      <c r="AZ257" s="27"/>
      <c r="BA257" s="27"/>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27"/>
      <c r="BX257" s="27"/>
      <c r="BY257" s="27"/>
      <c r="BZ257" s="27"/>
      <c r="CA257" s="27"/>
      <c r="CB257" s="27"/>
      <c r="CC257" s="27"/>
      <c r="CD257" s="27"/>
      <c r="CE257" s="27"/>
      <c r="CF257" s="27"/>
      <c r="CG257" s="27"/>
      <c r="CH257" s="27"/>
      <c r="CI257" s="27"/>
      <c r="CJ257" s="27"/>
      <c r="CK257" s="27"/>
      <c r="CL257" s="27"/>
      <c r="CM257" s="27"/>
      <c r="CN257" s="27"/>
      <c r="CO257" s="27"/>
      <c r="CP257" s="27"/>
      <c r="CQ257" s="27"/>
      <c r="CR257" s="27"/>
      <c r="CS257" s="27"/>
      <c r="CT257" s="27"/>
      <c r="CU257" s="27"/>
      <c r="CV257" s="27"/>
      <c r="CW257" s="27"/>
      <c r="CX257" s="27"/>
      <c r="CY257" s="27"/>
      <c r="CZ257" s="27"/>
      <c r="DA257" s="27"/>
      <c r="DB257" s="27"/>
      <c r="DC257" s="27">
        <v>255</v>
      </c>
      <c r="DD257" s="31">
        <v>127.5</v>
      </c>
      <c r="DE257" s="40" t="s">
        <v>0</v>
      </c>
    </row>
    <row r="258" spans="1:109" s="13" customFormat="1" ht="39.950000000000003" hidden="1" customHeight="1" x14ac:dyDescent="0.25">
      <c r="A258" s="2"/>
      <c r="B258" s="2"/>
      <c r="C258" s="2"/>
      <c r="D258" s="2"/>
      <c r="E258" s="2"/>
      <c r="F258" s="2"/>
      <c r="G258" s="2"/>
      <c r="H258" s="2"/>
      <c r="I258" s="2"/>
      <c r="J258" s="2"/>
      <c r="K258" s="2"/>
      <c r="L258" s="2"/>
      <c r="M258" s="2"/>
      <c r="N258" s="2"/>
      <c r="O258" s="2"/>
      <c r="P258" s="2"/>
      <c r="Q258" s="2"/>
      <c r="R258" s="2"/>
      <c r="S258" s="2"/>
      <c r="T258" s="19"/>
      <c r="U258" s="19"/>
      <c r="V258" s="19"/>
      <c r="W258" s="1"/>
      <c r="X258" s="2"/>
      <c r="Y258" s="53"/>
      <c r="Z258" s="53"/>
      <c r="AA258" s="1"/>
      <c r="AB258" s="1"/>
      <c r="AC258" s="1"/>
      <c r="AD258" s="1"/>
      <c r="AE258" s="27"/>
      <c r="AF258" s="27"/>
      <c r="AG258" s="27"/>
      <c r="AH258" s="27"/>
      <c r="AI258" s="27"/>
      <c r="AJ258" s="27"/>
      <c r="AK258" s="27"/>
      <c r="AL258" s="27"/>
      <c r="AM258" s="27"/>
      <c r="AN258" s="27"/>
      <c r="AO258" s="27"/>
      <c r="AP258" s="27"/>
      <c r="AQ258" s="27"/>
      <c r="AR258" s="27"/>
      <c r="AS258" s="27"/>
      <c r="AT258" s="27"/>
      <c r="AU258" s="27"/>
      <c r="AV258" s="27"/>
      <c r="AW258" s="27"/>
      <c r="AX258" s="27"/>
      <c r="AY258" s="27"/>
      <c r="AZ258" s="27"/>
      <c r="BA258" s="27"/>
      <c r="BB258" s="27"/>
      <c r="BC258" s="27"/>
      <c r="BD258" s="27"/>
      <c r="BE258" s="27"/>
      <c r="BF258" s="27"/>
      <c r="BG258" s="27"/>
      <c r="BH258" s="27"/>
      <c r="BI258" s="27"/>
      <c r="BJ258" s="27"/>
      <c r="BK258" s="27"/>
      <c r="BL258" s="27"/>
      <c r="BM258" s="27"/>
      <c r="BN258" s="27"/>
      <c r="BO258" s="27"/>
      <c r="BP258" s="27"/>
      <c r="BQ258" s="27"/>
      <c r="BR258" s="27"/>
      <c r="BS258" s="27"/>
      <c r="BT258" s="27"/>
      <c r="BU258" s="27"/>
      <c r="BV258" s="27"/>
      <c r="BW258" s="27"/>
      <c r="BX258" s="27"/>
      <c r="BY258" s="27"/>
      <c r="BZ258" s="27"/>
      <c r="CA258" s="27"/>
      <c r="CB258" s="27"/>
      <c r="CC258" s="27"/>
      <c r="CD258" s="27"/>
      <c r="CE258" s="27"/>
      <c r="CF258" s="27"/>
      <c r="CG258" s="27"/>
      <c r="CH258" s="27"/>
      <c r="CI258" s="27"/>
      <c r="CJ258" s="27"/>
      <c r="CK258" s="27"/>
      <c r="CL258" s="27"/>
      <c r="CM258" s="27"/>
      <c r="CN258" s="27"/>
      <c r="CO258" s="27"/>
      <c r="CP258" s="27"/>
      <c r="CQ258" s="27"/>
      <c r="CR258" s="27"/>
      <c r="CS258" s="27"/>
      <c r="CT258" s="27"/>
      <c r="CU258" s="27"/>
      <c r="CV258" s="27"/>
      <c r="CW258" s="27"/>
      <c r="CX258" s="27"/>
      <c r="CY258" s="27"/>
      <c r="CZ258" s="27"/>
      <c r="DA258" s="27"/>
      <c r="DB258" s="27"/>
      <c r="DC258" s="27">
        <v>256</v>
      </c>
      <c r="DD258" s="31">
        <v>128</v>
      </c>
      <c r="DE258" s="40" t="s">
        <v>0</v>
      </c>
    </row>
    <row r="259" spans="1:109" s="13" customFormat="1" ht="39.950000000000003" hidden="1" customHeight="1" x14ac:dyDescent="0.25">
      <c r="A259" s="2"/>
      <c r="B259" s="2"/>
      <c r="C259" s="2"/>
      <c r="D259" s="2"/>
      <c r="E259" s="2"/>
      <c r="F259" s="2"/>
      <c r="G259" s="2"/>
      <c r="H259" s="2"/>
      <c r="I259" s="2"/>
      <c r="J259" s="2"/>
      <c r="K259" s="2"/>
      <c r="L259" s="2"/>
      <c r="M259" s="2"/>
      <c r="N259" s="2"/>
      <c r="O259" s="2"/>
      <c r="P259" s="2"/>
      <c r="Q259" s="2"/>
      <c r="R259" s="2"/>
      <c r="S259" s="2"/>
      <c r="T259" s="19"/>
      <c r="U259" s="19"/>
      <c r="V259" s="19"/>
      <c r="W259" s="1"/>
      <c r="X259" s="2"/>
      <c r="Y259" s="53"/>
      <c r="Z259" s="53"/>
      <c r="AA259" s="1"/>
      <c r="AB259" s="1"/>
      <c r="AC259" s="1"/>
      <c r="AD259" s="1"/>
      <c r="AE259" s="27"/>
      <c r="AF259" s="27"/>
      <c r="AG259" s="27"/>
      <c r="AH259" s="27"/>
      <c r="AI259" s="27"/>
      <c r="AJ259" s="27"/>
      <c r="AK259" s="27"/>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v>257</v>
      </c>
      <c r="DD259" s="31">
        <v>128.5</v>
      </c>
      <c r="DE259" s="40" t="s">
        <v>0</v>
      </c>
    </row>
    <row r="260" spans="1:109" s="13" customFormat="1" ht="39.950000000000003" hidden="1" customHeight="1" x14ac:dyDescent="0.25">
      <c r="A260" s="2"/>
      <c r="B260" s="2"/>
      <c r="C260" s="2"/>
      <c r="D260" s="2"/>
      <c r="E260" s="2"/>
      <c r="F260" s="2"/>
      <c r="G260" s="2"/>
      <c r="H260" s="2"/>
      <c r="I260" s="2"/>
      <c r="J260" s="2"/>
      <c r="K260" s="2"/>
      <c r="L260" s="2"/>
      <c r="M260" s="2"/>
      <c r="N260" s="2"/>
      <c r="O260" s="2"/>
      <c r="P260" s="2"/>
      <c r="Q260" s="2"/>
      <c r="R260" s="2"/>
      <c r="S260" s="2"/>
      <c r="T260" s="19"/>
      <c r="U260" s="19"/>
      <c r="V260" s="19"/>
      <c r="W260" s="1"/>
      <c r="X260" s="2"/>
      <c r="Y260" s="53"/>
      <c r="Z260" s="53"/>
      <c r="AA260" s="1"/>
      <c r="AB260" s="1"/>
      <c r="AC260" s="1"/>
      <c r="AD260" s="1"/>
      <c r="AE260" s="27"/>
      <c r="AF260" s="27"/>
      <c r="AG260" s="27"/>
      <c r="AH260" s="27"/>
      <c r="AI260" s="27"/>
      <c r="AJ260" s="27"/>
      <c r="AK260" s="27"/>
      <c r="AL260" s="27"/>
      <c r="AM260" s="27"/>
      <c r="AN260" s="27"/>
      <c r="AO260" s="27"/>
      <c r="AP260" s="27"/>
      <c r="AQ260" s="27"/>
      <c r="AR260" s="27"/>
      <c r="AS260" s="27"/>
      <c r="AT260" s="27"/>
      <c r="AU260" s="27"/>
      <c r="AV260" s="27"/>
      <c r="AW260" s="27"/>
      <c r="AX260" s="27"/>
      <c r="AY260" s="27"/>
      <c r="AZ260" s="27"/>
      <c r="BA260" s="27"/>
      <c r="BB260" s="27"/>
      <c r="BC260" s="27"/>
      <c r="BD260" s="27"/>
      <c r="BE260" s="27"/>
      <c r="BF260" s="27"/>
      <c r="BG260" s="27"/>
      <c r="BH260" s="27"/>
      <c r="BI260" s="27"/>
      <c r="BJ260" s="27"/>
      <c r="BK260" s="27"/>
      <c r="BL260" s="27"/>
      <c r="BM260" s="27"/>
      <c r="BN260" s="27"/>
      <c r="BO260" s="27"/>
      <c r="BP260" s="27"/>
      <c r="BQ260" s="27"/>
      <c r="BR260" s="27"/>
      <c r="BS260" s="27"/>
      <c r="BT260" s="27"/>
      <c r="BU260" s="27"/>
      <c r="BV260" s="27"/>
      <c r="BW260" s="27"/>
      <c r="BX260" s="27"/>
      <c r="BY260" s="27"/>
      <c r="BZ260" s="27"/>
      <c r="CA260" s="27"/>
      <c r="CB260" s="27"/>
      <c r="CC260" s="27"/>
      <c r="CD260" s="27"/>
      <c r="CE260" s="27"/>
      <c r="CF260" s="27"/>
      <c r="CG260" s="27"/>
      <c r="CH260" s="27"/>
      <c r="CI260" s="27"/>
      <c r="CJ260" s="27"/>
      <c r="CK260" s="27"/>
      <c r="CL260" s="27"/>
      <c r="CM260" s="27"/>
      <c r="CN260" s="27"/>
      <c r="CO260" s="27"/>
      <c r="CP260" s="27"/>
      <c r="CQ260" s="27"/>
      <c r="CR260" s="27"/>
      <c r="CS260" s="27"/>
      <c r="CT260" s="27"/>
      <c r="CU260" s="27"/>
      <c r="CV260" s="27"/>
      <c r="CW260" s="27"/>
      <c r="CX260" s="27"/>
      <c r="CY260" s="27"/>
      <c r="CZ260" s="27"/>
      <c r="DA260" s="27"/>
      <c r="DB260" s="27"/>
      <c r="DC260" s="27">
        <v>258</v>
      </c>
      <c r="DD260" s="31">
        <v>129</v>
      </c>
      <c r="DE260" s="40" t="s">
        <v>0</v>
      </c>
    </row>
    <row r="261" spans="1:109" s="13" customFormat="1" ht="39.950000000000003" hidden="1" customHeight="1" x14ac:dyDescent="0.25">
      <c r="A261" s="2"/>
      <c r="B261" s="2"/>
      <c r="C261" s="2"/>
      <c r="D261" s="2"/>
      <c r="E261" s="2"/>
      <c r="F261" s="2"/>
      <c r="G261" s="2"/>
      <c r="H261" s="2"/>
      <c r="I261" s="2"/>
      <c r="J261" s="2"/>
      <c r="K261" s="2"/>
      <c r="L261" s="2"/>
      <c r="M261" s="2"/>
      <c r="N261" s="2"/>
      <c r="O261" s="2"/>
      <c r="P261" s="2"/>
      <c r="Q261" s="2"/>
      <c r="R261" s="2"/>
      <c r="S261" s="2"/>
      <c r="T261" s="19"/>
      <c r="U261" s="19"/>
      <c r="V261" s="19"/>
      <c r="W261" s="1"/>
      <c r="X261" s="2"/>
      <c r="Y261" s="53"/>
      <c r="Z261" s="53"/>
      <c r="AA261" s="1"/>
      <c r="AB261" s="1"/>
      <c r="AC261" s="1"/>
      <c r="AD261" s="1"/>
      <c r="AE261" s="27"/>
      <c r="AF261" s="27"/>
      <c r="AG261" s="27"/>
      <c r="AH261" s="27"/>
      <c r="AI261" s="27"/>
      <c r="AJ261" s="27"/>
      <c r="AK261" s="27"/>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v>259</v>
      </c>
      <c r="DD261" s="31">
        <v>129.5</v>
      </c>
      <c r="DE261" s="40" t="s">
        <v>0</v>
      </c>
    </row>
    <row r="262" spans="1:109" s="13" customFormat="1" ht="39.950000000000003" hidden="1" customHeight="1" x14ac:dyDescent="0.25">
      <c r="A262" s="2"/>
      <c r="B262" s="2"/>
      <c r="C262" s="2"/>
      <c r="D262" s="2"/>
      <c r="E262" s="2"/>
      <c r="F262" s="2"/>
      <c r="G262" s="2"/>
      <c r="H262" s="2"/>
      <c r="I262" s="2"/>
      <c r="J262" s="2"/>
      <c r="K262" s="2"/>
      <c r="L262" s="2"/>
      <c r="M262" s="2"/>
      <c r="N262" s="2"/>
      <c r="O262" s="2"/>
      <c r="P262" s="2"/>
      <c r="Q262" s="2"/>
      <c r="R262" s="2"/>
      <c r="S262" s="2"/>
      <c r="T262" s="19"/>
      <c r="U262" s="19"/>
      <c r="V262" s="19"/>
      <c r="W262" s="1"/>
      <c r="X262" s="2"/>
      <c r="Y262" s="53"/>
      <c r="Z262" s="53"/>
      <c r="AA262" s="1"/>
      <c r="AB262" s="1"/>
      <c r="AC262" s="1"/>
      <c r="AD262" s="1"/>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27"/>
      <c r="BD262" s="27"/>
      <c r="BE262" s="27"/>
      <c r="BF262" s="27"/>
      <c r="BG262" s="27"/>
      <c r="BH262" s="27"/>
      <c r="BI262" s="27"/>
      <c r="BJ262" s="27"/>
      <c r="BK262" s="27"/>
      <c r="BL262" s="27"/>
      <c r="BM262" s="27"/>
      <c r="BN262" s="27"/>
      <c r="BO262" s="27"/>
      <c r="BP262" s="27"/>
      <c r="BQ262" s="27"/>
      <c r="BR262" s="27"/>
      <c r="BS262" s="27"/>
      <c r="BT262" s="27"/>
      <c r="BU262" s="27"/>
      <c r="BV262" s="27"/>
      <c r="BW262" s="27"/>
      <c r="BX262" s="27"/>
      <c r="BY262" s="27"/>
      <c r="BZ262" s="27"/>
      <c r="CA262" s="27"/>
      <c r="CB262" s="27"/>
      <c r="CC262" s="27"/>
      <c r="CD262" s="27"/>
      <c r="CE262" s="27"/>
      <c r="CF262" s="27"/>
      <c r="CG262" s="27"/>
      <c r="CH262" s="27"/>
      <c r="CI262" s="27"/>
      <c r="CJ262" s="27"/>
      <c r="CK262" s="27"/>
      <c r="CL262" s="27"/>
      <c r="CM262" s="27"/>
      <c r="CN262" s="27"/>
      <c r="CO262" s="27"/>
      <c r="CP262" s="27"/>
      <c r="CQ262" s="27"/>
      <c r="CR262" s="27"/>
      <c r="CS262" s="27"/>
      <c r="CT262" s="27"/>
      <c r="CU262" s="27"/>
      <c r="CV262" s="27"/>
      <c r="CW262" s="27"/>
      <c r="CX262" s="27"/>
      <c r="CY262" s="27"/>
      <c r="CZ262" s="27"/>
      <c r="DA262" s="27"/>
      <c r="DB262" s="27"/>
      <c r="DC262" s="27">
        <v>260</v>
      </c>
      <c r="DD262" s="31">
        <v>130</v>
      </c>
      <c r="DE262" s="40" t="s">
        <v>0</v>
      </c>
    </row>
    <row r="263" spans="1:109" s="13" customFormat="1" ht="39.950000000000003" hidden="1" customHeight="1" x14ac:dyDescent="0.25">
      <c r="A263" s="2"/>
      <c r="B263" s="2"/>
      <c r="C263" s="2"/>
      <c r="D263" s="2"/>
      <c r="E263" s="2"/>
      <c r="F263" s="2"/>
      <c r="G263" s="2"/>
      <c r="H263" s="2"/>
      <c r="I263" s="2"/>
      <c r="J263" s="2"/>
      <c r="K263" s="2"/>
      <c r="L263" s="2"/>
      <c r="M263" s="2"/>
      <c r="N263" s="2"/>
      <c r="O263" s="2"/>
      <c r="P263" s="2"/>
      <c r="Q263" s="2"/>
      <c r="R263" s="2"/>
      <c r="S263" s="2"/>
      <c r="T263" s="19"/>
      <c r="U263" s="19"/>
      <c r="V263" s="19"/>
      <c r="W263" s="1"/>
      <c r="X263" s="2"/>
      <c r="Y263" s="53"/>
      <c r="Z263" s="53"/>
      <c r="AA263" s="1"/>
      <c r="AB263" s="1"/>
      <c r="AC263" s="1"/>
      <c r="AD263" s="1"/>
      <c r="AE263" s="27"/>
      <c r="AF263" s="27"/>
      <c r="AG263" s="27"/>
      <c r="AH263" s="27"/>
      <c r="AI263" s="27"/>
      <c r="AJ263" s="27"/>
      <c r="AK263" s="27"/>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v>261</v>
      </c>
      <c r="DD263" s="31">
        <v>130.5</v>
      </c>
      <c r="DE263" s="40" t="s">
        <v>0</v>
      </c>
    </row>
    <row r="264" spans="1:109" s="13" customFormat="1" ht="39.950000000000003" hidden="1" customHeight="1" x14ac:dyDescent="0.25">
      <c r="A264" s="2"/>
      <c r="B264" s="2"/>
      <c r="C264" s="2"/>
      <c r="D264" s="2"/>
      <c r="E264" s="2"/>
      <c r="F264" s="2"/>
      <c r="G264" s="2"/>
      <c r="H264" s="2"/>
      <c r="I264" s="2"/>
      <c r="J264" s="2"/>
      <c r="K264" s="2"/>
      <c r="L264" s="2"/>
      <c r="M264" s="2"/>
      <c r="N264" s="2"/>
      <c r="O264" s="2"/>
      <c r="P264" s="2"/>
      <c r="Q264" s="2"/>
      <c r="R264" s="2"/>
      <c r="S264" s="2"/>
      <c r="T264" s="19"/>
      <c r="U264" s="19"/>
      <c r="V264" s="19"/>
      <c r="W264" s="1"/>
      <c r="X264" s="2"/>
      <c r="Y264" s="53"/>
      <c r="Z264" s="53"/>
      <c r="AA264" s="1"/>
      <c r="AB264" s="1"/>
      <c r="AC264" s="1"/>
      <c r="AD264" s="1"/>
      <c r="AE264" s="27"/>
      <c r="AF264" s="27"/>
      <c r="AG264" s="27"/>
      <c r="AH264" s="27"/>
      <c r="AI264" s="27"/>
      <c r="AJ264" s="27"/>
      <c r="AK264" s="27"/>
      <c r="AL264" s="27"/>
      <c r="AM264" s="27"/>
      <c r="AN264" s="27"/>
      <c r="AO264" s="27"/>
      <c r="AP264" s="27"/>
      <c r="AQ264" s="27"/>
      <c r="AR264" s="27"/>
      <c r="AS264" s="27"/>
      <c r="AT264" s="27"/>
      <c r="AU264" s="27"/>
      <c r="AV264" s="27"/>
      <c r="AW264" s="27"/>
      <c r="AX264" s="27"/>
      <c r="AY264" s="27"/>
      <c r="AZ264" s="27"/>
      <c r="BA264" s="27"/>
      <c r="BB264" s="27"/>
      <c r="BC264" s="27"/>
      <c r="BD264" s="27"/>
      <c r="BE264" s="27"/>
      <c r="BF264" s="27"/>
      <c r="BG264" s="27"/>
      <c r="BH264" s="27"/>
      <c r="BI264" s="27"/>
      <c r="BJ264" s="27"/>
      <c r="BK264" s="27"/>
      <c r="BL264" s="27"/>
      <c r="BM264" s="27"/>
      <c r="BN264" s="27"/>
      <c r="BO264" s="27"/>
      <c r="BP264" s="27"/>
      <c r="BQ264" s="27"/>
      <c r="BR264" s="27"/>
      <c r="BS264" s="27"/>
      <c r="BT264" s="27"/>
      <c r="BU264" s="27"/>
      <c r="BV264" s="27"/>
      <c r="BW264" s="27"/>
      <c r="BX264" s="27"/>
      <c r="BY264" s="27"/>
      <c r="BZ264" s="27"/>
      <c r="CA264" s="27"/>
      <c r="CB264" s="27"/>
      <c r="CC264" s="27"/>
      <c r="CD264" s="27"/>
      <c r="CE264" s="27"/>
      <c r="CF264" s="27"/>
      <c r="CG264" s="27"/>
      <c r="CH264" s="27"/>
      <c r="CI264" s="27"/>
      <c r="CJ264" s="27"/>
      <c r="CK264" s="27"/>
      <c r="CL264" s="27"/>
      <c r="CM264" s="27"/>
      <c r="CN264" s="27"/>
      <c r="CO264" s="27"/>
      <c r="CP264" s="27"/>
      <c r="CQ264" s="27"/>
      <c r="CR264" s="27"/>
      <c r="CS264" s="27"/>
      <c r="CT264" s="27"/>
      <c r="CU264" s="27"/>
      <c r="CV264" s="27"/>
      <c r="CW264" s="27"/>
      <c r="CX264" s="27"/>
      <c r="CY264" s="27"/>
      <c r="CZ264" s="27"/>
      <c r="DA264" s="27"/>
      <c r="DB264" s="27"/>
      <c r="DC264" s="27">
        <v>262</v>
      </c>
      <c r="DD264" s="31">
        <v>131</v>
      </c>
      <c r="DE264" s="40" t="s">
        <v>0</v>
      </c>
    </row>
    <row r="265" spans="1:109" s="13" customFormat="1" ht="39.950000000000003" hidden="1" customHeight="1" x14ac:dyDescent="0.25">
      <c r="A265" s="2"/>
      <c r="B265" s="2"/>
      <c r="C265" s="2"/>
      <c r="D265" s="2"/>
      <c r="E265" s="2"/>
      <c r="F265" s="2"/>
      <c r="G265" s="2"/>
      <c r="H265" s="2"/>
      <c r="I265" s="2"/>
      <c r="J265" s="2"/>
      <c r="K265" s="2"/>
      <c r="L265" s="2"/>
      <c r="M265" s="2"/>
      <c r="N265" s="2"/>
      <c r="O265" s="2"/>
      <c r="P265" s="2"/>
      <c r="Q265" s="2"/>
      <c r="R265" s="2"/>
      <c r="S265" s="2"/>
      <c r="T265" s="19"/>
      <c r="U265" s="19"/>
      <c r="V265" s="19"/>
      <c r="W265" s="1"/>
      <c r="X265" s="2"/>
      <c r="Y265" s="53"/>
      <c r="Z265" s="53"/>
      <c r="AA265" s="1"/>
      <c r="AB265" s="1"/>
      <c r="AC265" s="1"/>
      <c r="AD265" s="1"/>
      <c r="AE265" s="27"/>
      <c r="AF265" s="27"/>
      <c r="AG265" s="27"/>
      <c r="AH265" s="27"/>
      <c r="AI265" s="27"/>
      <c r="AJ265" s="27"/>
      <c r="AK265" s="27"/>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v>263</v>
      </c>
      <c r="DD265" s="31">
        <v>131.5</v>
      </c>
      <c r="DE265" s="40" t="s">
        <v>0</v>
      </c>
    </row>
    <row r="266" spans="1:109" s="13" customFormat="1" ht="39.950000000000003" hidden="1" customHeight="1" x14ac:dyDescent="0.25">
      <c r="A266" s="2"/>
      <c r="B266" s="2"/>
      <c r="C266" s="2"/>
      <c r="D266" s="2"/>
      <c r="E266" s="2"/>
      <c r="F266" s="2"/>
      <c r="G266" s="2"/>
      <c r="H266" s="2"/>
      <c r="I266" s="2"/>
      <c r="J266" s="2"/>
      <c r="K266" s="2"/>
      <c r="L266" s="2"/>
      <c r="M266" s="2"/>
      <c r="N266" s="2"/>
      <c r="O266" s="2"/>
      <c r="P266" s="2"/>
      <c r="Q266" s="2"/>
      <c r="R266" s="2"/>
      <c r="S266" s="2"/>
      <c r="T266" s="19"/>
      <c r="U266" s="19"/>
      <c r="V266" s="19"/>
      <c r="W266" s="1"/>
      <c r="X266" s="2"/>
      <c r="Y266" s="53"/>
      <c r="Z266" s="53"/>
      <c r="AA266" s="1"/>
      <c r="AB266" s="1"/>
      <c r="AC266" s="1"/>
      <c r="AD266" s="1"/>
      <c r="AE266" s="27"/>
      <c r="AF266" s="27"/>
      <c r="AG266" s="27"/>
      <c r="AH266" s="27"/>
      <c r="AI266" s="27"/>
      <c r="AJ266" s="27"/>
      <c r="AK266" s="27"/>
      <c r="AL266" s="27"/>
      <c r="AM266" s="27"/>
      <c r="AN266" s="27"/>
      <c r="AO266" s="27"/>
      <c r="AP266" s="27"/>
      <c r="AQ266" s="27"/>
      <c r="AR266" s="27"/>
      <c r="AS266" s="27"/>
      <c r="AT266" s="27"/>
      <c r="AU266" s="27"/>
      <c r="AV266" s="27"/>
      <c r="AW266" s="27"/>
      <c r="AX266" s="27"/>
      <c r="AY266" s="27"/>
      <c r="AZ266" s="27"/>
      <c r="BA266" s="27"/>
      <c r="BB266" s="27"/>
      <c r="BC266" s="27"/>
      <c r="BD266" s="27"/>
      <c r="BE266" s="27"/>
      <c r="BF266" s="27"/>
      <c r="BG266" s="27"/>
      <c r="BH266" s="27"/>
      <c r="BI266" s="27"/>
      <c r="BJ266" s="27"/>
      <c r="BK266" s="27"/>
      <c r="BL266" s="27"/>
      <c r="BM266" s="27"/>
      <c r="BN266" s="27"/>
      <c r="BO266" s="27"/>
      <c r="BP266" s="27"/>
      <c r="BQ266" s="27"/>
      <c r="BR266" s="27"/>
      <c r="BS266" s="27"/>
      <c r="BT266" s="27"/>
      <c r="BU266" s="27"/>
      <c r="BV266" s="27"/>
      <c r="BW266" s="27"/>
      <c r="BX266" s="27"/>
      <c r="BY266" s="27"/>
      <c r="BZ266" s="27"/>
      <c r="CA266" s="27"/>
      <c r="CB266" s="27"/>
      <c r="CC266" s="27"/>
      <c r="CD266" s="27"/>
      <c r="CE266" s="27"/>
      <c r="CF266" s="27"/>
      <c r="CG266" s="27"/>
      <c r="CH266" s="27"/>
      <c r="CI266" s="27"/>
      <c r="CJ266" s="27"/>
      <c r="CK266" s="27"/>
      <c r="CL266" s="27"/>
      <c r="CM266" s="27"/>
      <c r="CN266" s="27"/>
      <c r="CO266" s="27"/>
      <c r="CP266" s="27"/>
      <c r="CQ266" s="27"/>
      <c r="CR266" s="27"/>
      <c r="CS266" s="27"/>
      <c r="CT266" s="27"/>
      <c r="CU266" s="27"/>
      <c r="CV266" s="27"/>
      <c r="CW266" s="27"/>
      <c r="CX266" s="27"/>
      <c r="CY266" s="27"/>
      <c r="CZ266" s="27"/>
      <c r="DA266" s="27"/>
      <c r="DB266" s="27"/>
      <c r="DC266" s="27">
        <v>264</v>
      </c>
      <c r="DD266" s="31">
        <v>132</v>
      </c>
      <c r="DE266" s="40" t="s">
        <v>0</v>
      </c>
    </row>
    <row r="267" spans="1:109" s="13" customFormat="1" ht="39.950000000000003" hidden="1" customHeight="1" x14ac:dyDescent="0.25">
      <c r="A267" s="2"/>
      <c r="B267" s="2"/>
      <c r="C267" s="2"/>
      <c r="D267" s="2"/>
      <c r="E267" s="2"/>
      <c r="F267" s="2"/>
      <c r="G267" s="2"/>
      <c r="H267" s="2"/>
      <c r="I267" s="2"/>
      <c r="J267" s="2"/>
      <c r="K267" s="2"/>
      <c r="L267" s="2"/>
      <c r="M267" s="2"/>
      <c r="N267" s="2"/>
      <c r="O267" s="2"/>
      <c r="P267" s="2"/>
      <c r="Q267" s="2"/>
      <c r="R267" s="2"/>
      <c r="S267" s="2"/>
      <c r="T267" s="19"/>
      <c r="U267" s="19"/>
      <c r="V267" s="19"/>
      <c r="W267" s="1"/>
      <c r="X267" s="2"/>
      <c r="Y267" s="53"/>
      <c r="Z267" s="53"/>
      <c r="AA267" s="1"/>
      <c r="AB267" s="1"/>
      <c r="AC267" s="1"/>
      <c r="AD267" s="1"/>
      <c r="AE267" s="27"/>
      <c r="AF267" s="27"/>
      <c r="AG267" s="27"/>
      <c r="AH267" s="27"/>
      <c r="AI267" s="27"/>
      <c r="AJ267" s="27"/>
      <c r="AK267" s="27"/>
      <c r="AL267" s="27"/>
      <c r="AM267" s="27"/>
      <c r="AN267" s="27"/>
      <c r="AO267" s="27"/>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c r="BN267" s="27"/>
      <c r="BO267" s="27"/>
      <c r="BP267" s="27"/>
      <c r="BQ267" s="27"/>
      <c r="BR267" s="27"/>
      <c r="BS267" s="27"/>
      <c r="BT267" s="27"/>
      <c r="BU267" s="27"/>
      <c r="BV267" s="27"/>
      <c r="BW267" s="27"/>
      <c r="BX267" s="27"/>
      <c r="BY267" s="27"/>
      <c r="BZ267" s="27"/>
      <c r="CA267" s="27"/>
      <c r="CB267" s="27"/>
      <c r="CC267" s="27"/>
      <c r="CD267" s="27"/>
      <c r="CE267" s="27"/>
      <c r="CF267" s="27"/>
      <c r="CG267" s="27"/>
      <c r="CH267" s="27"/>
      <c r="CI267" s="27"/>
      <c r="CJ267" s="27"/>
      <c r="CK267" s="27"/>
      <c r="CL267" s="27"/>
      <c r="CM267" s="27"/>
      <c r="CN267" s="27"/>
      <c r="CO267" s="27"/>
      <c r="CP267" s="27"/>
      <c r="CQ267" s="27"/>
      <c r="CR267" s="27"/>
      <c r="CS267" s="27"/>
      <c r="CT267" s="27"/>
      <c r="CU267" s="27"/>
      <c r="CV267" s="27"/>
      <c r="CW267" s="27"/>
      <c r="CX267" s="27"/>
      <c r="CY267" s="27"/>
      <c r="CZ267" s="27"/>
      <c r="DA267" s="27"/>
      <c r="DB267" s="27"/>
      <c r="DC267" s="27">
        <v>265</v>
      </c>
      <c r="DD267" s="31">
        <v>132.5</v>
      </c>
      <c r="DE267" s="40" t="s">
        <v>0</v>
      </c>
    </row>
    <row r="268" spans="1:109" s="13" customFormat="1" ht="39.950000000000003" hidden="1" customHeight="1" x14ac:dyDescent="0.25">
      <c r="A268" s="2"/>
      <c r="B268" s="2"/>
      <c r="C268" s="2"/>
      <c r="D268" s="2"/>
      <c r="E268" s="2"/>
      <c r="F268" s="2"/>
      <c r="G268" s="2"/>
      <c r="H268" s="2"/>
      <c r="I268" s="2"/>
      <c r="J268" s="2"/>
      <c r="K268" s="2"/>
      <c r="L268" s="2"/>
      <c r="M268" s="2"/>
      <c r="N268" s="2"/>
      <c r="O268" s="2"/>
      <c r="P268" s="2"/>
      <c r="Q268" s="2"/>
      <c r="R268" s="2"/>
      <c r="S268" s="2"/>
      <c r="T268" s="19"/>
      <c r="U268" s="19"/>
      <c r="V268" s="19"/>
      <c r="W268" s="1"/>
      <c r="X268" s="2"/>
      <c r="Y268" s="53"/>
      <c r="Z268" s="53"/>
      <c r="AA268" s="1"/>
      <c r="AB268" s="1"/>
      <c r="AC268" s="1"/>
      <c r="AD268" s="1"/>
      <c r="AE268" s="27"/>
      <c r="AF268" s="27"/>
      <c r="AG268" s="27"/>
      <c r="AH268" s="27"/>
      <c r="AI268" s="27"/>
      <c r="AJ268" s="27"/>
      <c r="AK268" s="27"/>
      <c r="AL268" s="27"/>
      <c r="AM268" s="27"/>
      <c r="AN268" s="27"/>
      <c r="AO268" s="27"/>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c r="BN268" s="27"/>
      <c r="BO268" s="27"/>
      <c r="BP268" s="27"/>
      <c r="BQ268" s="27"/>
      <c r="BR268" s="27"/>
      <c r="BS268" s="27"/>
      <c r="BT268" s="27"/>
      <c r="BU268" s="27"/>
      <c r="BV268" s="27"/>
      <c r="BW268" s="27"/>
      <c r="BX268" s="27"/>
      <c r="BY268" s="27"/>
      <c r="BZ268" s="27"/>
      <c r="CA268" s="27"/>
      <c r="CB268" s="27"/>
      <c r="CC268" s="27"/>
      <c r="CD268" s="27"/>
      <c r="CE268" s="27"/>
      <c r="CF268" s="27"/>
      <c r="CG268" s="27"/>
      <c r="CH268" s="27"/>
      <c r="CI268" s="27"/>
      <c r="CJ268" s="27"/>
      <c r="CK268" s="27"/>
      <c r="CL268" s="27"/>
      <c r="CM268" s="27"/>
      <c r="CN268" s="27"/>
      <c r="CO268" s="27"/>
      <c r="CP268" s="27"/>
      <c r="CQ268" s="27"/>
      <c r="CR268" s="27"/>
      <c r="CS268" s="27"/>
      <c r="CT268" s="27"/>
      <c r="CU268" s="27"/>
      <c r="CV268" s="27"/>
      <c r="CW268" s="27"/>
      <c r="CX268" s="27"/>
      <c r="CY268" s="27"/>
      <c r="CZ268" s="27"/>
      <c r="DA268" s="27"/>
      <c r="DB268" s="27"/>
      <c r="DC268" s="27">
        <v>266</v>
      </c>
      <c r="DD268" s="31">
        <v>133</v>
      </c>
      <c r="DE268" s="40" t="s">
        <v>0</v>
      </c>
    </row>
    <row r="269" spans="1:109" s="13" customFormat="1" ht="39.950000000000003" hidden="1" customHeight="1" x14ac:dyDescent="0.25">
      <c r="A269" s="2"/>
      <c r="B269" s="2"/>
      <c r="C269" s="2"/>
      <c r="D269" s="2"/>
      <c r="E269" s="2"/>
      <c r="F269" s="2"/>
      <c r="G269" s="2"/>
      <c r="H269" s="2"/>
      <c r="I269" s="2"/>
      <c r="J269" s="2"/>
      <c r="K269" s="2"/>
      <c r="L269" s="2"/>
      <c r="M269" s="2"/>
      <c r="N269" s="2"/>
      <c r="O269" s="2"/>
      <c r="P269" s="2"/>
      <c r="Q269" s="2"/>
      <c r="R269" s="2"/>
      <c r="S269" s="2"/>
      <c r="T269" s="19"/>
      <c r="U269" s="19"/>
      <c r="V269" s="19"/>
      <c r="W269" s="1"/>
      <c r="X269" s="2"/>
      <c r="Y269" s="53"/>
      <c r="Z269" s="53"/>
      <c r="AA269" s="1"/>
      <c r="AB269" s="1"/>
      <c r="AC269" s="1"/>
      <c r="AD269" s="1"/>
      <c r="AE269" s="27"/>
      <c r="AF269" s="27"/>
      <c r="AG269" s="27"/>
      <c r="AH269" s="27"/>
      <c r="AI269" s="27"/>
      <c r="AJ269" s="27"/>
      <c r="AK269" s="27"/>
      <c r="AL269" s="27"/>
      <c r="AM269" s="27"/>
      <c r="AN269" s="27"/>
      <c r="AO269" s="27"/>
      <c r="AP269" s="27"/>
      <c r="AQ269" s="27"/>
      <c r="AR269" s="27"/>
      <c r="AS269" s="27"/>
      <c r="AT269" s="27"/>
      <c r="AU269" s="27"/>
      <c r="AV269" s="27"/>
      <c r="AW269" s="27"/>
      <c r="AX269" s="27"/>
      <c r="AY269" s="27"/>
      <c r="AZ269" s="27"/>
      <c r="BA269" s="27"/>
      <c r="BB269" s="27"/>
      <c r="BC269" s="27"/>
      <c r="BD269" s="27"/>
      <c r="BE269" s="27"/>
      <c r="BF269" s="27"/>
      <c r="BG269" s="27"/>
      <c r="BH269" s="27"/>
      <c r="BI269" s="27"/>
      <c r="BJ269" s="27"/>
      <c r="BK269" s="27"/>
      <c r="BL269" s="27"/>
      <c r="BM269" s="27"/>
      <c r="BN269" s="27"/>
      <c r="BO269" s="27"/>
      <c r="BP269" s="27"/>
      <c r="BQ269" s="27"/>
      <c r="BR269" s="27"/>
      <c r="BS269" s="27"/>
      <c r="BT269" s="27"/>
      <c r="BU269" s="27"/>
      <c r="BV269" s="27"/>
      <c r="BW269" s="27"/>
      <c r="BX269" s="27"/>
      <c r="BY269" s="27"/>
      <c r="BZ269" s="27"/>
      <c r="CA269" s="27"/>
      <c r="CB269" s="27"/>
      <c r="CC269" s="27"/>
      <c r="CD269" s="27"/>
      <c r="CE269" s="27"/>
      <c r="CF269" s="27"/>
      <c r="CG269" s="27"/>
      <c r="CH269" s="27"/>
      <c r="CI269" s="27"/>
      <c r="CJ269" s="27"/>
      <c r="CK269" s="27"/>
      <c r="CL269" s="27"/>
      <c r="CM269" s="27"/>
      <c r="CN269" s="27"/>
      <c r="CO269" s="27"/>
      <c r="CP269" s="27"/>
      <c r="CQ269" s="27"/>
      <c r="CR269" s="27"/>
      <c r="CS269" s="27"/>
      <c r="CT269" s="27"/>
      <c r="CU269" s="27"/>
      <c r="CV269" s="27"/>
      <c r="CW269" s="27"/>
      <c r="CX269" s="27"/>
      <c r="CY269" s="27"/>
      <c r="CZ269" s="27"/>
      <c r="DA269" s="27"/>
      <c r="DB269" s="27"/>
      <c r="DC269" s="27">
        <v>267</v>
      </c>
      <c r="DD269" s="31">
        <v>133.5</v>
      </c>
      <c r="DE269" s="40" t="s">
        <v>0</v>
      </c>
    </row>
    <row r="270" spans="1:109" ht="39.950000000000003" hidden="1" customHeight="1" x14ac:dyDescent="0.25">
      <c r="DC270" s="27">
        <v>268</v>
      </c>
      <c r="DD270" s="31">
        <v>134</v>
      </c>
      <c r="DE270" s="40" t="s">
        <v>0</v>
      </c>
    </row>
    <row r="271" spans="1:109" ht="39.950000000000003" hidden="1" customHeight="1" x14ac:dyDescent="0.25">
      <c r="DC271" s="27">
        <v>269</v>
      </c>
      <c r="DD271" s="31">
        <v>134.5</v>
      </c>
      <c r="DE271" s="40" t="s">
        <v>0</v>
      </c>
    </row>
    <row r="272" spans="1:109" ht="39.950000000000003" hidden="1" customHeight="1" x14ac:dyDescent="0.25">
      <c r="DC272" s="27">
        <v>270</v>
      </c>
      <c r="DD272" s="31">
        <v>135</v>
      </c>
      <c r="DE272" s="40" t="s">
        <v>0</v>
      </c>
    </row>
    <row r="273" spans="107:109" ht="39.950000000000003" hidden="1" customHeight="1" x14ac:dyDescent="0.25">
      <c r="DC273" s="27">
        <v>271</v>
      </c>
      <c r="DD273" s="31">
        <v>135.5</v>
      </c>
      <c r="DE273" s="40" t="s">
        <v>0</v>
      </c>
    </row>
    <row r="274" spans="107:109" ht="39.950000000000003" hidden="1" customHeight="1" x14ac:dyDescent="0.25">
      <c r="DC274" s="27">
        <v>272</v>
      </c>
      <c r="DD274" s="31">
        <v>136</v>
      </c>
      <c r="DE274" s="40" t="s">
        <v>0</v>
      </c>
    </row>
    <row r="275" spans="107:109" ht="39.950000000000003" hidden="1" customHeight="1" x14ac:dyDescent="0.25">
      <c r="DC275" s="27">
        <v>273</v>
      </c>
      <c r="DD275" s="31">
        <v>136.5</v>
      </c>
      <c r="DE275" s="40" t="s">
        <v>0</v>
      </c>
    </row>
    <row r="276" spans="107:109" ht="39.950000000000003" hidden="1" customHeight="1" x14ac:dyDescent="0.25">
      <c r="DC276" s="27">
        <v>274</v>
      </c>
      <c r="DD276" s="31">
        <v>137</v>
      </c>
      <c r="DE276" s="40" t="s">
        <v>0</v>
      </c>
    </row>
    <row r="277" spans="107:109" ht="39.950000000000003" hidden="1" customHeight="1" x14ac:dyDescent="0.25">
      <c r="DC277" s="27">
        <v>275</v>
      </c>
      <c r="DD277" s="31">
        <v>137.5</v>
      </c>
      <c r="DE277" s="40" t="s">
        <v>0</v>
      </c>
    </row>
    <row r="278" spans="107:109" ht="39.950000000000003" hidden="1" customHeight="1" x14ac:dyDescent="0.25">
      <c r="DC278" s="27">
        <v>276</v>
      </c>
      <c r="DD278" s="31">
        <v>138</v>
      </c>
      <c r="DE278" s="40" t="s">
        <v>0</v>
      </c>
    </row>
    <row r="279" spans="107:109" ht="39.950000000000003" hidden="1" customHeight="1" x14ac:dyDescent="0.25">
      <c r="DC279" s="27">
        <v>277</v>
      </c>
      <c r="DD279" s="31">
        <v>138.5</v>
      </c>
      <c r="DE279" s="40" t="s">
        <v>0</v>
      </c>
    </row>
    <row r="280" spans="107:109" ht="39.950000000000003" hidden="1" customHeight="1" x14ac:dyDescent="0.25">
      <c r="DC280" s="27">
        <v>278</v>
      </c>
      <c r="DD280" s="31">
        <v>139</v>
      </c>
      <c r="DE280" s="40" t="s">
        <v>0</v>
      </c>
    </row>
    <row r="281" spans="107:109" ht="39.950000000000003" hidden="1" customHeight="1" x14ac:dyDescent="0.25">
      <c r="DC281" s="27">
        <v>279</v>
      </c>
      <c r="DD281" s="31">
        <v>139.5</v>
      </c>
      <c r="DE281" s="40" t="s">
        <v>0</v>
      </c>
    </row>
    <row r="282" spans="107:109" ht="39.950000000000003" hidden="1" customHeight="1" x14ac:dyDescent="0.25">
      <c r="DC282" s="27">
        <v>280</v>
      </c>
      <c r="DD282" s="31">
        <v>140</v>
      </c>
      <c r="DE282" s="40" t="s">
        <v>0</v>
      </c>
    </row>
    <row r="283" spans="107:109" ht="39.950000000000003" hidden="1" customHeight="1" x14ac:dyDescent="0.25">
      <c r="DC283" s="27">
        <v>281</v>
      </c>
      <c r="DD283" s="31">
        <v>140.5</v>
      </c>
      <c r="DE283" s="40" t="s">
        <v>0</v>
      </c>
    </row>
    <row r="284" spans="107:109" ht="39.950000000000003" hidden="1" customHeight="1" x14ac:dyDescent="0.25">
      <c r="DC284" s="27">
        <v>282</v>
      </c>
      <c r="DD284" s="31">
        <v>141</v>
      </c>
      <c r="DE284" s="40" t="s">
        <v>0</v>
      </c>
    </row>
    <row r="285" spans="107:109" ht="39.950000000000003" hidden="1" customHeight="1" x14ac:dyDescent="0.25">
      <c r="DC285" s="27">
        <v>283</v>
      </c>
      <c r="DD285" s="31">
        <v>141.5</v>
      </c>
      <c r="DE285" s="40" t="s">
        <v>0</v>
      </c>
    </row>
    <row r="286" spans="107:109" ht="39.950000000000003" hidden="1" customHeight="1" x14ac:dyDescent="0.25">
      <c r="DC286" s="27">
        <v>284</v>
      </c>
      <c r="DD286" s="31">
        <v>142</v>
      </c>
      <c r="DE286" s="40" t="s">
        <v>0</v>
      </c>
    </row>
    <row r="287" spans="107:109" ht="39.950000000000003" hidden="1" customHeight="1" x14ac:dyDescent="0.25">
      <c r="DC287" s="27">
        <v>285</v>
      </c>
      <c r="DD287" s="31">
        <v>142.5</v>
      </c>
      <c r="DE287" s="40" t="s">
        <v>0</v>
      </c>
    </row>
    <row r="288" spans="107:109" ht="39.950000000000003" hidden="1" customHeight="1" x14ac:dyDescent="0.25">
      <c r="DC288" s="27">
        <v>286</v>
      </c>
      <c r="DD288" s="31">
        <v>143</v>
      </c>
      <c r="DE288" s="40" t="s">
        <v>0</v>
      </c>
    </row>
    <row r="289" spans="107:109" ht="39.950000000000003" hidden="1" customHeight="1" x14ac:dyDescent="0.25">
      <c r="DC289" s="27">
        <v>287</v>
      </c>
      <c r="DD289" s="31">
        <v>143.5</v>
      </c>
      <c r="DE289" s="40" t="s">
        <v>0</v>
      </c>
    </row>
    <row r="290" spans="107:109" ht="39.950000000000003" hidden="1" customHeight="1" x14ac:dyDescent="0.25">
      <c r="DC290" s="27">
        <v>288</v>
      </c>
      <c r="DD290" s="31">
        <v>144</v>
      </c>
      <c r="DE290" s="40" t="s">
        <v>0</v>
      </c>
    </row>
    <row r="291" spans="107:109" ht="39.950000000000003" hidden="1" customHeight="1" x14ac:dyDescent="0.25">
      <c r="DC291" s="27">
        <v>289</v>
      </c>
      <c r="DD291" s="31">
        <v>144.5</v>
      </c>
      <c r="DE291" s="40" t="s">
        <v>0</v>
      </c>
    </row>
    <row r="292" spans="107:109" ht="39.950000000000003" hidden="1" customHeight="1" x14ac:dyDescent="0.25">
      <c r="DC292" s="27">
        <v>290</v>
      </c>
      <c r="DD292" s="31">
        <v>145</v>
      </c>
      <c r="DE292" s="40" t="s">
        <v>0</v>
      </c>
    </row>
    <row r="293" spans="107:109" ht="39.950000000000003" hidden="1" customHeight="1" x14ac:dyDescent="0.25">
      <c r="DC293" s="27">
        <v>291</v>
      </c>
      <c r="DD293" s="31">
        <v>145.5</v>
      </c>
      <c r="DE293" s="40" t="s">
        <v>0</v>
      </c>
    </row>
    <row r="294" spans="107:109" ht="39.950000000000003" hidden="1" customHeight="1" x14ac:dyDescent="0.25">
      <c r="DC294" s="27">
        <v>292</v>
      </c>
      <c r="DD294" s="31">
        <v>146</v>
      </c>
      <c r="DE294" s="40" t="s">
        <v>0</v>
      </c>
    </row>
    <row r="295" spans="107:109" ht="39.950000000000003" hidden="1" customHeight="1" x14ac:dyDescent="0.25">
      <c r="DC295" s="27">
        <v>293</v>
      </c>
      <c r="DD295" s="31">
        <v>146.5</v>
      </c>
      <c r="DE295" s="40" t="s">
        <v>0</v>
      </c>
    </row>
    <row r="296" spans="107:109" ht="39.950000000000003" hidden="1" customHeight="1" x14ac:dyDescent="0.25">
      <c r="DC296" s="27">
        <v>294</v>
      </c>
      <c r="DD296" s="31">
        <v>147</v>
      </c>
      <c r="DE296" s="40" t="s">
        <v>0</v>
      </c>
    </row>
    <row r="297" spans="107:109" ht="39.950000000000003" hidden="1" customHeight="1" x14ac:dyDescent="0.25">
      <c r="DC297" s="27">
        <v>295</v>
      </c>
      <c r="DD297" s="31">
        <v>147.5</v>
      </c>
      <c r="DE297" s="40" t="s">
        <v>0</v>
      </c>
    </row>
    <row r="298" spans="107:109" ht="39.950000000000003" hidden="1" customHeight="1" x14ac:dyDescent="0.25">
      <c r="DC298" s="27">
        <v>296</v>
      </c>
      <c r="DD298" s="31">
        <v>148</v>
      </c>
      <c r="DE298" s="40" t="s">
        <v>0</v>
      </c>
    </row>
    <row r="299" spans="107:109" ht="39.950000000000003" hidden="1" customHeight="1" x14ac:dyDescent="0.25">
      <c r="DC299" s="27">
        <v>297</v>
      </c>
      <c r="DD299" s="31">
        <v>148.5</v>
      </c>
      <c r="DE299" s="40" t="s">
        <v>0</v>
      </c>
    </row>
    <row r="300" spans="107:109" ht="39.950000000000003" hidden="1" customHeight="1" x14ac:dyDescent="0.25">
      <c r="DC300" s="27">
        <v>298</v>
      </c>
      <c r="DD300" s="31">
        <v>149</v>
      </c>
      <c r="DE300" s="40" t="s">
        <v>0</v>
      </c>
    </row>
    <row r="301" spans="107:109" ht="39.950000000000003" hidden="1" customHeight="1" x14ac:dyDescent="0.25">
      <c r="DC301" s="27">
        <v>299</v>
      </c>
      <c r="DD301" s="31">
        <v>149.5</v>
      </c>
      <c r="DE301" s="40" t="s">
        <v>0</v>
      </c>
    </row>
    <row r="302" spans="107:109" ht="39.950000000000003" hidden="1" customHeight="1" x14ac:dyDescent="0.25">
      <c r="DC302" s="27">
        <v>300</v>
      </c>
      <c r="DD302" s="31">
        <v>150</v>
      </c>
      <c r="DE302" s="40" t="s">
        <v>0</v>
      </c>
    </row>
    <row r="303" spans="107:109" ht="39.950000000000003" hidden="1" customHeight="1" x14ac:dyDescent="0.25">
      <c r="DC303" s="27">
        <v>301</v>
      </c>
      <c r="DD303" s="31">
        <v>150.5</v>
      </c>
      <c r="DE303" s="40" t="s">
        <v>0</v>
      </c>
    </row>
    <row r="304" spans="107:109" ht="39.950000000000003" hidden="1" customHeight="1" x14ac:dyDescent="0.25">
      <c r="DC304" s="27">
        <v>302</v>
      </c>
      <c r="DD304" s="31">
        <v>151</v>
      </c>
      <c r="DE304" s="40" t="s">
        <v>0</v>
      </c>
    </row>
    <row r="305" spans="107:109" ht="39.950000000000003" hidden="1" customHeight="1" x14ac:dyDescent="0.25">
      <c r="DC305" s="27">
        <v>303</v>
      </c>
      <c r="DD305" s="31">
        <v>151.5</v>
      </c>
      <c r="DE305" s="40" t="s">
        <v>0</v>
      </c>
    </row>
    <row r="306" spans="107:109" ht="39.950000000000003" hidden="1" customHeight="1" x14ac:dyDescent="0.25">
      <c r="DC306" s="27">
        <v>304</v>
      </c>
      <c r="DD306" s="31">
        <v>152</v>
      </c>
      <c r="DE306" s="40" t="s">
        <v>0</v>
      </c>
    </row>
    <row r="307" spans="107:109" ht="39.950000000000003" hidden="1" customHeight="1" x14ac:dyDescent="0.25">
      <c r="DC307" s="27">
        <v>305</v>
      </c>
      <c r="DD307" s="31">
        <v>152.5</v>
      </c>
      <c r="DE307" s="40" t="s">
        <v>0</v>
      </c>
    </row>
    <row r="308" spans="107:109" ht="39.950000000000003" hidden="1" customHeight="1" x14ac:dyDescent="0.25">
      <c r="DC308" s="27">
        <v>306</v>
      </c>
      <c r="DD308" s="31">
        <v>153</v>
      </c>
      <c r="DE308" s="40" t="s">
        <v>0</v>
      </c>
    </row>
    <row r="309" spans="107:109" ht="39.950000000000003" hidden="1" customHeight="1" x14ac:dyDescent="0.25">
      <c r="DC309" s="27">
        <v>307</v>
      </c>
      <c r="DD309" s="31">
        <v>153.5</v>
      </c>
      <c r="DE309" s="40" t="s">
        <v>0</v>
      </c>
    </row>
    <row r="310" spans="107:109" ht="39.950000000000003" hidden="1" customHeight="1" x14ac:dyDescent="0.25">
      <c r="DC310" s="27">
        <v>308</v>
      </c>
      <c r="DD310" s="31">
        <v>154</v>
      </c>
      <c r="DE310" s="40" t="s">
        <v>0</v>
      </c>
    </row>
    <row r="311" spans="107:109" ht="39.950000000000003" hidden="1" customHeight="1" x14ac:dyDescent="0.25">
      <c r="DC311" s="27">
        <v>309</v>
      </c>
      <c r="DD311" s="31">
        <v>154.5</v>
      </c>
      <c r="DE311" s="40" t="s">
        <v>0</v>
      </c>
    </row>
    <row r="312" spans="107:109" ht="39.950000000000003" hidden="1" customHeight="1" x14ac:dyDescent="0.25">
      <c r="DC312" s="27">
        <v>310</v>
      </c>
      <c r="DD312" s="31">
        <v>155</v>
      </c>
      <c r="DE312" s="40" t="s">
        <v>0</v>
      </c>
    </row>
    <row r="313" spans="107:109" ht="39.950000000000003" hidden="1" customHeight="1" x14ac:dyDescent="0.25">
      <c r="DC313" s="27">
        <v>311</v>
      </c>
      <c r="DD313" s="31">
        <v>155.5</v>
      </c>
      <c r="DE313" s="40" t="s">
        <v>0</v>
      </c>
    </row>
    <row r="314" spans="107:109" ht="39.950000000000003" hidden="1" customHeight="1" x14ac:dyDescent="0.25">
      <c r="DC314" s="27">
        <v>312</v>
      </c>
      <c r="DD314" s="31">
        <v>156</v>
      </c>
      <c r="DE314" s="40" t="s">
        <v>0</v>
      </c>
    </row>
    <row r="315" spans="107:109" ht="39.950000000000003" hidden="1" customHeight="1" x14ac:dyDescent="0.25">
      <c r="DC315" s="27">
        <v>313</v>
      </c>
      <c r="DD315" s="31">
        <v>156.5</v>
      </c>
      <c r="DE315" s="40" t="s">
        <v>0</v>
      </c>
    </row>
    <row r="316" spans="107:109" ht="39.950000000000003" hidden="1" customHeight="1" x14ac:dyDescent="0.25">
      <c r="DC316" s="27">
        <v>314</v>
      </c>
      <c r="DD316" s="31">
        <v>157</v>
      </c>
      <c r="DE316" s="40" t="s">
        <v>0</v>
      </c>
    </row>
    <row r="317" spans="107:109" ht="39.950000000000003" hidden="1" customHeight="1" x14ac:dyDescent="0.25">
      <c r="DC317" s="27">
        <v>315</v>
      </c>
      <c r="DD317" s="31">
        <v>157.5</v>
      </c>
      <c r="DE317" s="40" t="s">
        <v>0</v>
      </c>
    </row>
    <row r="318" spans="107:109" ht="39.950000000000003" hidden="1" customHeight="1" x14ac:dyDescent="0.25">
      <c r="DC318" s="27">
        <v>316</v>
      </c>
      <c r="DD318" s="31">
        <v>158</v>
      </c>
      <c r="DE318" s="40" t="s">
        <v>0</v>
      </c>
    </row>
    <row r="319" spans="107:109" ht="39.950000000000003" hidden="1" customHeight="1" x14ac:dyDescent="0.25">
      <c r="DC319" s="27">
        <v>317</v>
      </c>
      <c r="DD319" s="31">
        <v>158.5</v>
      </c>
      <c r="DE319" s="40" t="s">
        <v>0</v>
      </c>
    </row>
    <row r="320" spans="107:109" ht="39.950000000000003" hidden="1" customHeight="1" x14ac:dyDescent="0.25">
      <c r="DC320" s="27">
        <v>318</v>
      </c>
      <c r="DD320" s="31">
        <v>159</v>
      </c>
      <c r="DE320" s="40" t="s">
        <v>0</v>
      </c>
    </row>
    <row r="321" spans="107:109" ht="39.950000000000003" hidden="1" customHeight="1" x14ac:dyDescent="0.25">
      <c r="DC321" s="27">
        <v>319</v>
      </c>
      <c r="DD321" s="31">
        <v>159.5</v>
      </c>
      <c r="DE321" s="40" t="s">
        <v>0</v>
      </c>
    </row>
    <row r="322" spans="107:109" ht="39.950000000000003" hidden="1" customHeight="1" x14ac:dyDescent="0.25">
      <c r="DC322" s="27">
        <v>320</v>
      </c>
      <c r="DD322" s="31">
        <v>160</v>
      </c>
      <c r="DE322" s="40" t="s">
        <v>0</v>
      </c>
    </row>
    <row r="323" spans="107:109" ht="39.950000000000003" hidden="1" customHeight="1" x14ac:dyDescent="0.25">
      <c r="DC323" s="27">
        <v>321</v>
      </c>
      <c r="DD323" s="31">
        <v>160.5</v>
      </c>
      <c r="DE323" s="40" t="s">
        <v>0</v>
      </c>
    </row>
    <row r="324" spans="107:109" ht="39.950000000000003" hidden="1" customHeight="1" x14ac:dyDescent="0.25">
      <c r="DC324" s="27">
        <v>322</v>
      </c>
      <c r="DD324" s="31">
        <v>161</v>
      </c>
      <c r="DE324" s="40" t="s">
        <v>0</v>
      </c>
    </row>
    <row r="325" spans="107:109" ht="39.950000000000003" hidden="1" customHeight="1" x14ac:dyDescent="0.25">
      <c r="DC325" s="27">
        <v>323</v>
      </c>
      <c r="DD325" s="31">
        <v>161.5</v>
      </c>
      <c r="DE325" s="40" t="s">
        <v>0</v>
      </c>
    </row>
    <row r="326" spans="107:109" ht="39.950000000000003" hidden="1" customHeight="1" x14ac:dyDescent="0.25">
      <c r="DC326" s="27">
        <v>324</v>
      </c>
      <c r="DD326" s="31">
        <v>162</v>
      </c>
      <c r="DE326" s="40" t="s">
        <v>0</v>
      </c>
    </row>
    <row r="327" spans="107:109" ht="39.950000000000003" hidden="1" customHeight="1" x14ac:dyDescent="0.25">
      <c r="DC327" s="27">
        <v>325</v>
      </c>
      <c r="DD327" s="31">
        <v>162.5</v>
      </c>
      <c r="DE327" s="40" t="s">
        <v>0</v>
      </c>
    </row>
    <row r="328" spans="107:109" ht="39.950000000000003" hidden="1" customHeight="1" x14ac:dyDescent="0.25">
      <c r="DC328" s="27">
        <v>326</v>
      </c>
      <c r="DD328" s="31">
        <v>163</v>
      </c>
      <c r="DE328" s="40" t="s">
        <v>0</v>
      </c>
    </row>
    <row r="329" spans="107:109" ht="39.950000000000003" hidden="1" customHeight="1" x14ac:dyDescent="0.25">
      <c r="DC329" s="27">
        <v>327</v>
      </c>
      <c r="DD329" s="31">
        <v>163.5</v>
      </c>
      <c r="DE329" s="40" t="s">
        <v>0</v>
      </c>
    </row>
    <row r="330" spans="107:109" ht="39.950000000000003" hidden="1" customHeight="1" x14ac:dyDescent="0.25">
      <c r="DC330" s="27">
        <v>328</v>
      </c>
      <c r="DD330" s="31">
        <v>164</v>
      </c>
      <c r="DE330" s="40" t="s">
        <v>0</v>
      </c>
    </row>
    <row r="331" spans="107:109" ht="39.950000000000003" hidden="1" customHeight="1" x14ac:dyDescent="0.25">
      <c r="DC331" s="27">
        <v>329</v>
      </c>
      <c r="DD331" s="31">
        <v>164.5</v>
      </c>
      <c r="DE331" s="40" t="s">
        <v>0</v>
      </c>
    </row>
    <row r="332" spans="107:109" ht="39.950000000000003" hidden="1" customHeight="1" x14ac:dyDescent="0.25">
      <c r="DC332" s="27">
        <v>330</v>
      </c>
      <c r="DD332" s="31">
        <v>165</v>
      </c>
      <c r="DE332" s="40" t="s">
        <v>0</v>
      </c>
    </row>
    <row r="333" spans="107:109" ht="39.950000000000003" hidden="1" customHeight="1" x14ac:dyDescent="0.25">
      <c r="DC333" s="27">
        <v>331</v>
      </c>
      <c r="DD333" s="31">
        <v>165.5</v>
      </c>
      <c r="DE333" s="40" t="s">
        <v>0</v>
      </c>
    </row>
    <row r="334" spans="107:109" ht="39.950000000000003" hidden="1" customHeight="1" x14ac:dyDescent="0.25">
      <c r="DC334" s="27">
        <v>332</v>
      </c>
      <c r="DD334" s="31">
        <v>166</v>
      </c>
      <c r="DE334" s="40" t="s">
        <v>0</v>
      </c>
    </row>
    <row r="335" spans="107:109" ht="39.950000000000003" hidden="1" customHeight="1" x14ac:dyDescent="0.25">
      <c r="DC335" s="27">
        <v>333</v>
      </c>
      <c r="DD335" s="31">
        <v>166.5</v>
      </c>
      <c r="DE335" s="40" t="s">
        <v>0</v>
      </c>
    </row>
    <row r="336" spans="107:109" ht="39.950000000000003" hidden="1" customHeight="1" x14ac:dyDescent="0.25">
      <c r="DC336" s="27">
        <v>334</v>
      </c>
      <c r="DD336" s="31">
        <v>167</v>
      </c>
      <c r="DE336" s="40" t="s">
        <v>0</v>
      </c>
    </row>
    <row r="337" spans="107:109" ht="39.950000000000003" hidden="1" customHeight="1" x14ac:dyDescent="0.25">
      <c r="DC337" s="27">
        <v>335</v>
      </c>
      <c r="DD337" s="31">
        <v>167.5</v>
      </c>
      <c r="DE337" s="40" t="s">
        <v>0</v>
      </c>
    </row>
    <row r="338" spans="107:109" ht="39.950000000000003" hidden="1" customHeight="1" x14ac:dyDescent="0.25">
      <c r="DC338" s="27">
        <v>336</v>
      </c>
      <c r="DD338" s="31">
        <v>168</v>
      </c>
      <c r="DE338" s="40" t="s">
        <v>0</v>
      </c>
    </row>
    <row r="339" spans="107:109" ht="39.950000000000003" hidden="1" customHeight="1" x14ac:dyDescent="0.25">
      <c r="DC339" s="27">
        <v>337</v>
      </c>
      <c r="DD339" s="31">
        <v>168.5</v>
      </c>
      <c r="DE339" s="40" t="s">
        <v>0</v>
      </c>
    </row>
    <row r="340" spans="107:109" ht="39.950000000000003" hidden="1" customHeight="1" x14ac:dyDescent="0.25">
      <c r="DC340" s="27">
        <v>338</v>
      </c>
      <c r="DD340" s="31">
        <v>169</v>
      </c>
      <c r="DE340" s="40" t="s">
        <v>0</v>
      </c>
    </row>
    <row r="341" spans="107:109" ht="39.950000000000003" hidden="1" customHeight="1" x14ac:dyDescent="0.25">
      <c r="DC341" s="27">
        <v>339</v>
      </c>
      <c r="DD341" s="31">
        <v>169.5</v>
      </c>
      <c r="DE341" s="40" t="s">
        <v>0</v>
      </c>
    </row>
    <row r="342" spans="107:109" ht="39.950000000000003" hidden="1" customHeight="1" x14ac:dyDescent="0.25">
      <c r="DC342" s="27">
        <v>340</v>
      </c>
      <c r="DD342" s="31">
        <v>170</v>
      </c>
      <c r="DE342" s="40" t="s">
        <v>0</v>
      </c>
    </row>
    <row r="343" spans="107:109" ht="39.950000000000003" hidden="1" customHeight="1" x14ac:dyDescent="0.25">
      <c r="DC343" s="27">
        <v>341</v>
      </c>
      <c r="DD343" s="31">
        <v>170.5</v>
      </c>
      <c r="DE343" s="40" t="s">
        <v>0</v>
      </c>
    </row>
    <row r="344" spans="107:109" ht="39.950000000000003" hidden="1" customHeight="1" x14ac:dyDescent="0.25">
      <c r="DC344" s="27">
        <v>342</v>
      </c>
      <c r="DD344" s="31">
        <v>171</v>
      </c>
      <c r="DE344" s="40" t="s">
        <v>0</v>
      </c>
    </row>
    <row r="345" spans="107:109" ht="39.950000000000003" hidden="1" customHeight="1" x14ac:dyDescent="0.25">
      <c r="DC345" s="27">
        <v>343</v>
      </c>
      <c r="DD345" s="31">
        <v>171.5</v>
      </c>
      <c r="DE345" s="40" t="s">
        <v>0</v>
      </c>
    </row>
    <row r="346" spans="107:109" ht="39.950000000000003" hidden="1" customHeight="1" x14ac:dyDescent="0.25">
      <c r="DC346" s="27">
        <v>344</v>
      </c>
      <c r="DD346" s="31">
        <v>172</v>
      </c>
      <c r="DE346" s="40" t="s">
        <v>0</v>
      </c>
    </row>
    <row r="347" spans="107:109" ht="39.950000000000003" hidden="1" customHeight="1" x14ac:dyDescent="0.25">
      <c r="DC347" s="27">
        <v>345</v>
      </c>
      <c r="DD347" s="31">
        <v>172.5</v>
      </c>
      <c r="DE347" s="40" t="s">
        <v>0</v>
      </c>
    </row>
    <row r="348" spans="107:109" ht="39.950000000000003" hidden="1" customHeight="1" x14ac:dyDescent="0.25">
      <c r="DC348" s="27">
        <v>346</v>
      </c>
      <c r="DD348" s="31">
        <v>173</v>
      </c>
      <c r="DE348" s="40" t="s">
        <v>0</v>
      </c>
    </row>
    <row r="349" spans="107:109" ht="39.950000000000003" hidden="1" customHeight="1" x14ac:dyDescent="0.25">
      <c r="DC349" s="27">
        <v>347</v>
      </c>
      <c r="DD349" s="31">
        <v>173.5</v>
      </c>
      <c r="DE349" s="40" t="s">
        <v>0</v>
      </c>
    </row>
    <row r="350" spans="107:109" ht="39.950000000000003" hidden="1" customHeight="1" x14ac:dyDescent="0.25">
      <c r="DC350" s="27">
        <v>348</v>
      </c>
      <c r="DD350" s="31">
        <v>174</v>
      </c>
      <c r="DE350" s="40" t="s">
        <v>0</v>
      </c>
    </row>
    <row r="351" spans="107:109" ht="39.950000000000003" hidden="1" customHeight="1" x14ac:dyDescent="0.25">
      <c r="DC351" s="27">
        <v>349</v>
      </c>
      <c r="DD351" s="31">
        <v>174.5</v>
      </c>
      <c r="DE351" s="40" t="s">
        <v>0</v>
      </c>
    </row>
    <row r="352" spans="107:109" ht="39.950000000000003" hidden="1" customHeight="1" x14ac:dyDescent="0.25">
      <c r="DC352" s="27">
        <v>350</v>
      </c>
      <c r="DD352" s="31">
        <v>175</v>
      </c>
      <c r="DE352" s="40" t="s">
        <v>0</v>
      </c>
    </row>
    <row r="353" spans="107:109" ht="39.950000000000003" hidden="1" customHeight="1" x14ac:dyDescent="0.25">
      <c r="DC353" s="27">
        <v>351</v>
      </c>
      <c r="DD353" s="31">
        <v>175.5</v>
      </c>
      <c r="DE353" s="40" t="s">
        <v>0</v>
      </c>
    </row>
    <row r="354" spans="107:109" ht="39.950000000000003" hidden="1" customHeight="1" x14ac:dyDescent="0.25">
      <c r="DC354" s="27">
        <v>352</v>
      </c>
      <c r="DD354" s="31">
        <v>176</v>
      </c>
      <c r="DE354" s="40" t="s">
        <v>0</v>
      </c>
    </row>
    <row r="355" spans="107:109" ht="39.950000000000003" hidden="1" customHeight="1" x14ac:dyDescent="0.25">
      <c r="DC355" s="27">
        <v>353</v>
      </c>
      <c r="DD355" s="31">
        <v>176.5</v>
      </c>
      <c r="DE355" s="40" t="s">
        <v>0</v>
      </c>
    </row>
    <row r="356" spans="107:109" ht="39.950000000000003" hidden="1" customHeight="1" x14ac:dyDescent="0.25">
      <c r="DC356" s="27">
        <v>354</v>
      </c>
      <c r="DD356" s="31">
        <v>177</v>
      </c>
      <c r="DE356" s="40" t="s">
        <v>0</v>
      </c>
    </row>
    <row r="357" spans="107:109" ht="39.950000000000003" hidden="1" customHeight="1" x14ac:dyDescent="0.25">
      <c r="DC357" s="27">
        <v>355</v>
      </c>
      <c r="DD357" s="31">
        <v>177.5</v>
      </c>
      <c r="DE357" s="40" t="s">
        <v>0</v>
      </c>
    </row>
    <row r="358" spans="107:109" ht="39.950000000000003" hidden="1" customHeight="1" x14ac:dyDescent="0.25">
      <c r="DC358" s="27">
        <v>356</v>
      </c>
      <c r="DD358" s="31">
        <v>178</v>
      </c>
      <c r="DE358" s="40" t="s">
        <v>0</v>
      </c>
    </row>
    <row r="359" spans="107:109" ht="39.950000000000003" hidden="1" customHeight="1" x14ac:dyDescent="0.25">
      <c r="DC359" s="27">
        <v>357</v>
      </c>
      <c r="DD359" s="31">
        <v>178.5</v>
      </c>
      <c r="DE359" s="40" t="s">
        <v>0</v>
      </c>
    </row>
    <row r="360" spans="107:109" ht="39.950000000000003" hidden="1" customHeight="1" x14ac:dyDescent="0.25">
      <c r="DC360" s="27">
        <v>358</v>
      </c>
      <c r="DD360" s="31">
        <v>179</v>
      </c>
      <c r="DE360" s="40" t="s">
        <v>0</v>
      </c>
    </row>
    <row r="361" spans="107:109" ht="39.950000000000003" hidden="1" customHeight="1" x14ac:dyDescent="0.25">
      <c r="DC361" s="27">
        <v>359</v>
      </c>
      <c r="DD361" s="31">
        <v>179.5</v>
      </c>
      <c r="DE361" s="40" t="s">
        <v>0</v>
      </c>
    </row>
    <row r="362" spans="107:109" ht="39.950000000000003" hidden="1" customHeight="1" x14ac:dyDescent="0.25">
      <c r="DC362" s="27">
        <v>360</v>
      </c>
      <c r="DD362" s="31">
        <v>180</v>
      </c>
      <c r="DE362" s="40" t="s">
        <v>0</v>
      </c>
    </row>
    <row r="363" spans="107:109" ht="9.9499999999999993" hidden="1" customHeight="1" x14ac:dyDescent="0.25"/>
  </sheetData>
  <sheetProtection algorithmName="SHA-512" hashValue="3otCtwPTlQFWY3scHLDOw6z+0SD7W9Rdp/bfk6MlUHlRSyjbJCCJre9Y7h8CA4lgAV6MHfMCwsE9Pa5AUAdC4g==" saltValue="dnegwJpsjvdEKezfLqgvmA==" spinCount="100000" sheet="1" objects="1" scenarios="1" selectLockedCells="1"/>
  <mergeCells count="29">
    <mergeCell ref="C1:C14"/>
    <mergeCell ref="W1:W28"/>
    <mergeCell ref="S1:S14"/>
    <mergeCell ref="A28:B28"/>
    <mergeCell ref="D1:D14"/>
    <mergeCell ref="A27:B27"/>
    <mergeCell ref="O1:O14"/>
    <mergeCell ref="M1:M14"/>
    <mergeCell ref="N1:N14"/>
    <mergeCell ref="L1:L14"/>
    <mergeCell ref="I1:I14"/>
    <mergeCell ref="J1:J14"/>
    <mergeCell ref="K1:K14"/>
    <mergeCell ref="G1:G14"/>
    <mergeCell ref="H1:H14"/>
    <mergeCell ref="A1:A14"/>
    <mergeCell ref="B1:B14"/>
    <mergeCell ref="F1:F14"/>
    <mergeCell ref="E1:E14"/>
    <mergeCell ref="P1:P14"/>
    <mergeCell ref="AB28:AD28"/>
    <mergeCell ref="Q1:Q14"/>
    <mergeCell ref="X1:X28"/>
    <mergeCell ref="R1:R14"/>
    <mergeCell ref="AA1:AA28"/>
    <mergeCell ref="AB2:AB27"/>
    <mergeCell ref="AD2:AD27"/>
    <mergeCell ref="AC2:AC27"/>
    <mergeCell ref="AB1:AD1"/>
  </mergeCells>
  <phoneticPr fontId="4" type="noConversion"/>
  <dataValidations count="10">
    <dataValidation type="list" allowBlank="1" showInputMessage="1" showErrorMessage="1" sqref="BZ3:BZ14" xr:uid="{00000000-0002-0000-0000-00001D000000}">
      <formula1>"Yok, Var"</formula1>
    </dataValidation>
    <dataValidation type="list" allowBlank="1" showInputMessage="1" showErrorMessage="1" sqref="P15:P26" xr:uid="{3A0B69A3-E539-4FA1-91D3-3762D94D20FE}">
      <formula1>$DE$2:$DE$50</formula1>
    </dataValidation>
    <dataValidation type="list" allowBlank="1" showInputMessage="1" showErrorMessage="1" sqref="W1:W28" xr:uid="{9054E20C-415A-4A28-9A83-E6387959DADB}">
      <formula1>"Ocak, Şubat, Mart, Nisan, Mayıs, Haziran, Temmuz, Ağustos, Eylül, Ekim, Kasım, Aralık, Yıllık Toplam, Yıllık Ortalama"</formula1>
    </dataValidation>
    <dataValidation type="list" allowBlank="1" showInputMessage="1" showErrorMessage="1" sqref="AI1" xr:uid="{E78907BA-7A5C-4BC5-9626-30F7C79A3DA3}">
      <formula1>#REF!</formula1>
    </dataValidation>
    <dataValidation type="list" allowBlank="1" showInputMessage="1" showErrorMessage="1" sqref="D15:E26" xr:uid="{D16C9647-72F6-4D86-BCEE-3739AC9AC5F3}">
      <formula1>$DD$2:$DD$362</formula1>
    </dataValidation>
    <dataValidation type="list" allowBlank="1" showInputMessage="1" showErrorMessage="1" sqref="C15:C26 F15:F26 H15:L26 AM4:AM7 AP4:AP7 BM1:BM2 BA24 AW23 AX24:AX26 AT23 AR24:AR26 BB13:BB15 BT7:BT12 BK13:BK15 BH22 BH13:BH15 BE22" xr:uid="{65FACC1D-9377-4225-8D3E-97700607B264}">
      <formula1>$DC$2:$DC$362</formula1>
    </dataValidation>
    <dataValidation type="list" allowBlank="1" showInputMessage="1" showErrorMessage="1" sqref="AA1" xr:uid="{F853FCC4-C3B8-4272-9BE3-E548C91B3D0F}">
      <formula1>$Y$1:$Y$14</formula1>
    </dataValidation>
    <dataValidation type="list" allowBlank="1" showInputMessage="1" showErrorMessage="1" sqref="G15:G26" xr:uid="{174444A4-EE0F-4D29-86BF-1BA39FFC8F66}">
      <formula1>"Yok, Bakırköy, Bandırma, Beşiktaş, Bostancı, Bursa, Eskihisar, Harem, Kabataş, Kadıköy, Maltepe, Pendik, Sirkeci, Topçular, Yalova, Yenikapı"</formula1>
    </dataValidation>
    <dataValidation type="list" allowBlank="1" showInputMessage="1" showErrorMessage="1" sqref="M15:O26" xr:uid="{7E9257B1-BC45-43BF-BB27-0BC094A577C2}">
      <formula1>$BU$1:$BU$17</formula1>
    </dataValidation>
    <dataValidation type="list" allowBlank="1" showInputMessage="1" showErrorMessage="1" sqref="A1:A14" xr:uid="{AE81A231-50A0-4C37-89AE-F70005CB0F11}">
      <formula1>$AE$1:$AE$70</formula1>
    </dataValidation>
  </dataValidations>
  <printOptions horizontalCentered="1" verticalCentered="1"/>
  <pageMargins left="0" right="0" top="0" bottom="0" header="0" footer="0"/>
  <pageSetup paperSize="8"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Özet Tablo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dc:creator>
  <dc:description/>
  <cp:lastModifiedBy>!</cp:lastModifiedBy>
  <cp:lastPrinted>2021-01-27T16:23:43Z</cp:lastPrinted>
  <dcterms:created xsi:type="dcterms:W3CDTF">2015-06-05T18:19:34Z</dcterms:created>
  <dcterms:modified xsi:type="dcterms:W3CDTF">2022-08-30T09:04:40Z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