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BuÇalışmaKitabı" autoCompressPictures="0" defaultThemeVersion="124226"/>
  <mc:AlternateContent xmlns:mc="http://schemas.openxmlformats.org/markup-compatibility/2006">
    <mc:Choice Requires="x15">
      <x15ac:absPath xmlns:x15ac="http://schemas.microsoft.com/office/spreadsheetml/2010/11/ac" url="D:\Arif Gürer\Web Sayfası\Ödenekler Hesabı\01 - Genel Çalışmalar\Ödenekler Hesabı\"/>
    </mc:Choice>
  </mc:AlternateContent>
  <xr:revisionPtr revIDLastSave="0" documentId="13_ncr:1_{C65E33AE-7FA9-4629-B07A-2A7907DBBC44}" xr6:coauthVersionLast="47" xr6:coauthVersionMax="47" xr10:uidLastSave="{00000000-0000-0000-0000-000000000000}"/>
  <workbookProtection workbookAlgorithmName="SHA-512" workbookHashValue="Esu4WO0ijrA5bQqtRozLqcgjTpEda2kkM2eiz42TJovQ90Mx9NVhPfap9Q5N+AqakY18FZiTHcBqHoCcURDB8A==" workbookSaltValue="8UfJ5gryw8JDi+IswRdr1Q==" workbookSpinCount="100000" lockStructure="1"/>
  <bookViews>
    <workbookView xWindow="-120" yWindow="-120" windowWidth="29040" windowHeight="15840" xr2:uid="{00000000-000D-0000-FFFF-FFFF00000000}"/>
  </bookViews>
  <sheets>
    <sheet name="Özet Tablo" sheetId="130" r:id="rId1"/>
  </sheets>
  <definedNames>
    <definedName name="_xlnm._FilterDatabase" localSheetId="0" hidden="1">'Özet Tablo'!#REF!</definedName>
    <definedName name="Bartın_854">'Özet Tablo'!#REF!</definedName>
    <definedName name="Çanakkale_4857">'Özet Tablo'!#REF!</definedName>
    <definedName name="Çanakkale_854">'Özet Tablo'!#REF!</definedName>
    <definedName name="İST_K_4857">'Özet Tablo'!#REF!</definedName>
    <definedName name="İST_K_854">'Özet Tablo'!#REF!</definedName>
    <definedName name="İST_K_854_Deniz_Taksi">'Özet Tablo'!#REF!</definedName>
    <definedName name="İST_K_Güvenlik_Kapsam_Dışı">'Özet Tablo'!#REF!</definedName>
    <definedName name="İST_K_Kafe_Kapsam_Dışı">'Özet Tablo'!#REF!</definedName>
    <definedName name="İST_K_Temizlik_Kapsam_Dışı">'Özet Tablo'!#REF!</definedName>
    <definedName name="İST_Ö_4857">'Özet Tablo'!#REF!</definedName>
    <definedName name="İST_Ö_854">'Özet Tablo'!#REF!</definedName>
    <definedName name="İzmir_4857">'Özet Tablo'!#REF!</definedName>
    <definedName name="İzmir_854">'Özet Tablo'!#REF!</definedName>
    <definedName name="Zonguldak_854">'Özet Tablo'!#REF!</definedName>
  </definedNames>
  <calcPr calcId="181029" iterate="1"/>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Z3" i="130" l="1"/>
  <c r="AZ4" i="130"/>
  <c r="AZ5" i="130"/>
  <c r="AZ2" i="130"/>
  <c r="AP26" i="130" l="1"/>
  <c r="AP25" i="130"/>
  <c r="AP24" i="130"/>
  <c r="AP23" i="130"/>
  <c r="AN26" i="130"/>
  <c r="AN25" i="130"/>
  <c r="AN24" i="130"/>
  <c r="AN23" i="130"/>
  <c r="AL24" i="130"/>
  <c r="AL25" i="130"/>
  <c r="AL26" i="130"/>
  <c r="AL23" i="130"/>
  <c r="B1" i="130"/>
  <c r="AP22" i="130"/>
  <c r="AL15" i="130" s="1"/>
  <c r="AP21" i="130"/>
  <c r="AP3" i="130"/>
  <c r="AP2" i="130"/>
  <c r="AP1" i="130"/>
  <c r="AP14" i="130"/>
  <c r="AP13" i="130"/>
  <c r="AP12" i="130"/>
  <c r="AN22" i="130"/>
  <c r="AN21" i="130"/>
  <c r="AN3" i="130"/>
  <c r="AN2" i="130"/>
  <c r="AN1" i="130"/>
  <c r="AN14" i="130"/>
  <c r="AN13" i="130"/>
  <c r="AN12" i="130"/>
  <c r="AL22" i="130"/>
  <c r="AL21" i="130"/>
  <c r="AL13" i="130"/>
  <c r="AL14" i="130"/>
  <c r="AL1" i="130"/>
  <c r="AL2" i="130"/>
  <c r="AL3" i="130"/>
  <c r="AL12" i="130"/>
  <c r="BM16" i="130"/>
  <c r="BM17" i="130"/>
  <c r="BM18" i="130"/>
  <c r="BM19" i="130"/>
  <c r="BM20" i="130"/>
  <c r="BM21" i="130"/>
  <c r="BD1" i="130"/>
  <c r="BD2" i="130"/>
  <c r="BD3" i="130"/>
  <c r="BD4" i="130"/>
  <c r="BD5" i="130"/>
  <c r="BM15" i="130"/>
  <c r="AV21" i="130" l="1"/>
  <c r="AV22" i="130"/>
  <c r="AV23" i="130"/>
  <c r="AV24" i="130"/>
  <c r="BH1" i="130"/>
  <c r="BH2" i="130"/>
  <c r="BH3" i="130"/>
  <c r="BH4" i="130"/>
  <c r="BH5" i="130"/>
  <c r="BB20" i="130"/>
  <c r="BB21" i="130"/>
  <c r="AV20" i="130"/>
  <c r="AW21" i="130"/>
  <c r="AW22" i="130"/>
  <c r="AW23" i="130"/>
  <c r="AW24" i="130"/>
  <c r="BI1" i="130"/>
  <c r="BI2" i="130"/>
  <c r="BI3" i="130"/>
  <c r="BI4" i="130"/>
  <c r="BI5" i="130"/>
  <c r="BC20" i="130"/>
  <c r="BC21" i="130"/>
  <c r="AW20" i="130"/>
  <c r="BK16" i="130" l="1"/>
  <c r="BK17" i="130"/>
  <c r="BK18" i="130"/>
  <c r="BK19" i="130"/>
  <c r="BK20" i="130"/>
  <c r="BK21" i="130"/>
  <c r="BB1" i="130"/>
  <c r="BB2" i="130"/>
  <c r="BB3" i="130"/>
  <c r="BB4" i="130"/>
  <c r="BB5" i="130"/>
  <c r="BK15" i="130"/>
  <c r="G27" i="130"/>
  <c r="BH16" i="130"/>
  <c r="BH17" i="130"/>
  <c r="BH18" i="130"/>
  <c r="BH19" i="130"/>
  <c r="BH20" i="130"/>
  <c r="BH21" i="130"/>
  <c r="AZ1" i="130"/>
  <c r="BH15" i="130"/>
  <c r="AP19" i="130"/>
  <c r="BE16" i="130"/>
  <c r="BE17" i="130"/>
  <c r="BE18" i="130"/>
  <c r="BE19" i="130"/>
  <c r="AO9" i="130"/>
  <c r="AO10" i="130"/>
  <c r="AO11" i="130"/>
  <c r="AO15" i="130"/>
  <c r="AO16" i="130"/>
  <c r="AO17" i="130"/>
  <c r="AO18" i="130"/>
  <c r="BE15" i="130"/>
  <c r="AU2" i="130"/>
  <c r="AU3" i="130"/>
  <c r="AU4" i="130"/>
  <c r="AU5" i="130"/>
  <c r="AU6" i="130"/>
  <c r="AU7" i="130"/>
  <c r="AU8" i="130"/>
  <c r="AU9" i="130"/>
  <c r="AU10" i="130"/>
  <c r="AU11" i="130"/>
  <c r="AU12" i="130"/>
  <c r="AU1" i="130"/>
  <c r="BF4" i="130" l="1"/>
  <c r="BF3" i="130"/>
  <c r="BF2" i="130"/>
  <c r="BF1" i="130"/>
  <c r="BO21" i="130"/>
  <c r="BO20" i="130"/>
  <c r="BO19" i="130"/>
  <c r="BO18" i="130"/>
  <c r="BO17" i="130"/>
  <c r="BO16" i="130"/>
  <c r="BE5" i="130"/>
  <c r="BF5" i="130"/>
  <c r="BT6" i="130"/>
  <c r="BT7" i="130" s="1"/>
  <c r="BN15" i="130"/>
  <c r="BO15" i="130"/>
  <c r="BE4" i="130"/>
  <c r="BE3" i="130"/>
  <c r="BE2" i="130"/>
  <c r="BE1" i="130"/>
  <c r="BN21" i="130"/>
  <c r="BN20" i="130"/>
  <c r="BN19" i="130"/>
  <c r="BN18" i="130"/>
  <c r="BN17" i="130"/>
  <c r="BN16" i="130"/>
  <c r="BR6" i="130"/>
  <c r="BR7" i="130" s="1"/>
  <c r="BO6" i="130"/>
  <c r="BO7" i="130" s="1"/>
  <c r="Q10" i="130" l="1"/>
  <c r="P10" i="130" s="1"/>
  <c r="Q9" i="130"/>
  <c r="P9" i="130" s="1"/>
  <c r="BU6" i="130"/>
  <c r="BU7" i="130" s="1"/>
  <c r="BV6" i="130"/>
  <c r="BV7" i="130" s="1"/>
  <c r="Q11" i="130" l="1"/>
  <c r="P11" i="130" s="1"/>
  <c r="AW12" i="130"/>
  <c r="AW11" i="130"/>
  <c r="AW10" i="130"/>
  <c r="AW9" i="130"/>
  <c r="AW8" i="130"/>
  <c r="AW7" i="130"/>
  <c r="AW6" i="130"/>
  <c r="AW5" i="130"/>
  <c r="AW4" i="130"/>
  <c r="AW3" i="130"/>
  <c r="AW2" i="130"/>
  <c r="AW1" i="130"/>
  <c r="AF7" i="130" l="1"/>
  <c r="AF8" i="130"/>
  <c r="BA6" i="130"/>
  <c r="BA7" i="130"/>
  <c r="BA8" i="130"/>
  <c r="BA9" i="130"/>
  <c r="BA10" i="130"/>
  <c r="BA11" i="130"/>
  <c r="BA12" i="130"/>
  <c r="AF6" i="130"/>
  <c r="AF5" i="130"/>
  <c r="AF4" i="130"/>
  <c r="CI9" i="130"/>
  <c r="A16" i="130" s="1"/>
  <c r="CI10" i="130"/>
  <c r="A17" i="130" s="1"/>
  <c r="CI11" i="130"/>
  <c r="A18" i="130" s="1"/>
  <c r="CI12" i="130"/>
  <c r="A19" i="130" s="1"/>
  <c r="CI13" i="130"/>
  <c r="A20" i="130" s="1"/>
  <c r="CI14" i="130"/>
  <c r="A21" i="130" s="1"/>
  <c r="CI15" i="130"/>
  <c r="A22" i="130" s="1"/>
  <c r="CI16" i="130"/>
  <c r="A23" i="130" s="1"/>
  <c r="CI17" i="130"/>
  <c r="A24" i="130" s="1"/>
  <c r="CI18" i="130"/>
  <c r="A25" i="130" s="1"/>
  <c r="CI19" i="130"/>
  <c r="A26" i="130" s="1"/>
  <c r="CI8" i="130"/>
  <c r="A15" i="130" s="1"/>
  <c r="CJ12" i="130"/>
  <c r="CJ13" i="130"/>
  <c r="CJ14" i="130"/>
  <c r="CJ15" i="130"/>
  <c r="CJ16" i="130"/>
  <c r="CJ17" i="130"/>
  <c r="CJ18" i="130"/>
  <c r="CJ19" i="130"/>
  <c r="CJ20" i="130"/>
  <c r="CJ21" i="130"/>
  <c r="CJ22" i="130"/>
  <c r="CJ11" i="130"/>
  <c r="CK22" i="130"/>
  <c r="CK12" i="130"/>
  <c r="CK13" i="130"/>
  <c r="CK14" i="130"/>
  <c r="CK15" i="130"/>
  <c r="CK16" i="130"/>
  <c r="CK17" i="130"/>
  <c r="CK18" i="130"/>
  <c r="CK19" i="130"/>
  <c r="CK20" i="130"/>
  <c r="CK21" i="130"/>
  <c r="CK11" i="130"/>
  <c r="BB6" i="130" l="1"/>
  <c r="BB8" i="130"/>
  <c r="BB9" i="130"/>
  <c r="BB10" i="130"/>
  <c r="BB11" i="130"/>
  <c r="BB12" i="130"/>
  <c r="BB7" i="130"/>
  <c r="BE8" i="130"/>
  <c r="BI8" i="130"/>
  <c r="BK8" i="130"/>
  <c r="BE9" i="130"/>
  <c r="BI9" i="130"/>
  <c r="BK9" i="130"/>
  <c r="BE10" i="130"/>
  <c r="BI10" i="130"/>
  <c r="BK10" i="130"/>
  <c r="BE11" i="130"/>
  <c r="BI11" i="130"/>
  <c r="BK11" i="130"/>
  <c r="BE12" i="130"/>
  <c r="BI12" i="130"/>
  <c r="BK12" i="130"/>
  <c r="BE7" i="130"/>
  <c r="BI7" i="130"/>
  <c r="BK7" i="130"/>
  <c r="AG5" i="130"/>
  <c r="AJ5" i="130"/>
  <c r="AN5" i="130"/>
  <c r="AP5" i="130"/>
  <c r="AG6" i="130"/>
  <c r="AJ6" i="130"/>
  <c r="AN6" i="130"/>
  <c r="AP6" i="130"/>
  <c r="AG7" i="130"/>
  <c r="AJ7" i="130"/>
  <c r="AN7" i="130"/>
  <c r="AP7" i="130"/>
  <c r="AG8" i="130"/>
  <c r="AJ8" i="130"/>
  <c r="AN8" i="130"/>
  <c r="AP8" i="130"/>
  <c r="BE6" i="130"/>
  <c r="BI6" i="130"/>
  <c r="BK6" i="130"/>
  <c r="AP4" i="130"/>
  <c r="AG4" i="130" l="1"/>
  <c r="AL18" i="130" l="1"/>
  <c r="AL17" i="130"/>
  <c r="AL16" i="130"/>
  <c r="AL11" i="130"/>
  <c r="AL10" i="130"/>
  <c r="AL9" i="130"/>
  <c r="BB19" i="130"/>
  <c r="BB18" i="130"/>
  <c r="BB17" i="130"/>
  <c r="BB16" i="130"/>
  <c r="BB15" i="130"/>
  <c r="AY8" i="130" l="1"/>
  <c r="AY9" i="130"/>
  <c r="AY10" i="130"/>
  <c r="AY11" i="130"/>
  <c r="AY12" i="130"/>
  <c r="AY1" i="130"/>
  <c r="AY2" i="130"/>
  <c r="AY3" i="130"/>
  <c r="AY4" i="130"/>
  <c r="AY5" i="130"/>
  <c r="AY6" i="130"/>
  <c r="AY7" i="130"/>
  <c r="CB6" i="130"/>
  <c r="CA6" i="130"/>
  <c r="AZ27" i="130"/>
  <c r="AZ26" i="130"/>
  <c r="AZ25" i="130"/>
  <c r="BL25" i="130"/>
  <c r="BL24" i="130"/>
  <c r="BL23" i="130"/>
  <c r="BL22" i="130"/>
  <c r="CD5" i="130"/>
  <c r="CD4" i="130"/>
  <c r="CD3" i="130"/>
  <c r="CD2" i="130"/>
  <c r="CD1" i="130"/>
  <c r="BK24" i="130"/>
  <c r="BK25" i="130"/>
  <c r="AY25" i="130"/>
  <c r="AY26" i="130"/>
  <c r="BA26" i="130" s="1"/>
  <c r="AY27" i="130"/>
  <c r="BA27" i="130" s="1"/>
  <c r="BK23" i="130"/>
  <c r="CC2" i="130"/>
  <c r="CC3" i="130"/>
  <c r="CC4" i="130"/>
  <c r="CC5" i="130"/>
  <c r="BK22" i="130"/>
  <c r="CC1" i="130"/>
  <c r="CE1" i="130" s="1"/>
  <c r="BA25" i="130" l="1"/>
  <c r="CE4" i="130"/>
  <c r="BM23" i="130"/>
  <c r="CE2" i="130"/>
  <c r="CE5" i="130"/>
  <c r="BM22" i="130"/>
  <c r="BM25" i="130"/>
  <c r="BM24" i="130"/>
  <c r="CE3" i="130"/>
  <c r="X2" i="130"/>
  <c r="AY16" i="130" l="1"/>
  <c r="AY17" i="130"/>
  <c r="AY18" i="130"/>
  <c r="AY19" i="130"/>
  <c r="AI9" i="130"/>
  <c r="AI10" i="130"/>
  <c r="AI11" i="130"/>
  <c r="AI15" i="130"/>
  <c r="AI16" i="130"/>
  <c r="AI17" i="130"/>
  <c r="AI18" i="130"/>
  <c r="AY15" i="130"/>
  <c r="AX16" i="130"/>
  <c r="CQ12" i="130" s="1"/>
  <c r="AX17" i="130"/>
  <c r="CQ13" i="130" s="1"/>
  <c r="AX18" i="130"/>
  <c r="CQ14" i="130" s="1"/>
  <c r="AX19" i="130"/>
  <c r="CQ15" i="130" s="1"/>
  <c r="AH9" i="130"/>
  <c r="CQ16" i="130" s="1"/>
  <c r="AH10" i="130"/>
  <c r="CQ17" i="130" s="1"/>
  <c r="AH11" i="130"/>
  <c r="CQ18" i="130" s="1"/>
  <c r="AH15" i="130"/>
  <c r="CQ19" i="130" s="1"/>
  <c r="AH16" i="130"/>
  <c r="CQ20" i="130" s="1"/>
  <c r="AH17" i="130"/>
  <c r="CX7" i="130" s="1"/>
  <c r="AH18" i="130"/>
  <c r="CX8" i="130" s="1"/>
  <c r="AX15" i="130"/>
  <c r="AW16" i="130"/>
  <c r="AW17" i="130"/>
  <c r="AW18" i="130"/>
  <c r="AW19" i="130"/>
  <c r="AG9" i="130"/>
  <c r="AG10" i="130"/>
  <c r="AG11" i="130"/>
  <c r="AG15" i="130"/>
  <c r="AG16" i="130"/>
  <c r="AG17" i="130"/>
  <c r="AG18" i="130"/>
  <c r="AW15" i="130"/>
  <c r="AV19" i="130"/>
  <c r="AV18" i="130"/>
  <c r="AV16" i="130"/>
  <c r="AV17" i="130"/>
  <c r="AV15" i="130"/>
  <c r="AF9" i="130"/>
  <c r="AF10" i="130"/>
  <c r="AF11" i="130"/>
  <c r="AF15" i="130"/>
  <c r="AF16" i="130"/>
  <c r="AF17" i="130"/>
  <c r="AF18" i="130"/>
  <c r="AN4" i="130"/>
  <c r="AJ4" i="130"/>
  <c r="CQ11" i="130" l="1"/>
  <c r="CM12" i="130"/>
  <c r="AU21" i="130" s="1"/>
  <c r="CM13" i="130"/>
  <c r="AU22" i="130" s="1"/>
  <c r="CM14" i="130"/>
  <c r="AU23" i="130" s="1"/>
  <c r="CM15" i="130"/>
  <c r="AU24" i="130" s="1"/>
  <c r="CM16" i="130"/>
  <c r="BG1" i="130" s="1"/>
  <c r="CM17" i="130"/>
  <c r="BG2" i="130" s="1"/>
  <c r="CM18" i="130"/>
  <c r="BG3" i="130" s="1"/>
  <c r="CM19" i="130"/>
  <c r="BG4" i="130" s="1"/>
  <c r="CM20" i="130"/>
  <c r="BG5" i="130" s="1"/>
  <c r="CM21" i="130"/>
  <c r="BA20" i="130" s="1"/>
  <c r="CM22" i="130"/>
  <c r="BA21" i="130" s="1"/>
  <c r="CM11" i="130"/>
  <c r="AU20" i="130" s="1"/>
  <c r="CG7" i="130"/>
  <c r="CF7" i="130"/>
  <c r="CT2" i="130"/>
  <c r="CU2" i="130" s="1"/>
  <c r="CT3" i="130"/>
  <c r="CT4" i="130"/>
  <c r="CT5" i="130"/>
  <c r="CU5" i="130" s="1"/>
  <c r="CT6" i="130"/>
  <c r="CU6" i="130" s="1"/>
  <c r="CY21" i="130"/>
  <c r="CY22" i="130"/>
  <c r="CZ22" i="130" s="1"/>
  <c r="CY23" i="130"/>
  <c r="CZ23" i="130" s="1"/>
  <c r="CY24" i="130"/>
  <c r="CS7" i="130"/>
  <c r="CT7" i="130" s="1"/>
  <c r="CS8" i="130"/>
  <c r="CT8" i="130" s="1"/>
  <c r="CT1" i="130"/>
  <c r="AZ28" i="130"/>
  <c r="AZ29" i="130" s="1"/>
  <c r="AY28" i="130"/>
  <c r="AY29" i="130" s="1"/>
  <c r="BG15" i="130" l="1"/>
  <c r="BJ15" i="130"/>
  <c r="AQ15" i="130"/>
  <c r="BA2" i="130"/>
  <c r="AQ9" i="130"/>
  <c r="BJ20" i="130"/>
  <c r="BG16" i="130"/>
  <c r="BJ16" i="130"/>
  <c r="AQ17" i="130"/>
  <c r="BA4" i="130"/>
  <c r="BG19" i="130"/>
  <c r="BJ19" i="130"/>
  <c r="BG18" i="130"/>
  <c r="BJ18" i="130"/>
  <c r="AQ18" i="130"/>
  <c r="BA5" i="130"/>
  <c r="AQ16" i="130"/>
  <c r="BA3" i="130"/>
  <c r="AQ11" i="130"/>
  <c r="BA1" i="130"/>
  <c r="AQ10" i="130"/>
  <c r="BJ21" i="130"/>
  <c r="BG17" i="130"/>
  <c r="BJ17" i="130"/>
  <c r="BD15" i="130"/>
  <c r="BA15" i="130"/>
  <c r="AU15" i="130"/>
  <c r="AN15" i="130"/>
  <c r="AK15" i="130"/>
  <c r="AE15" i="130"/>
  <c r="AN16" i="130"/>
  <c r="AK16" i="130"/>
  <c r="AE16" i="130"/>
  <c r="AN11" i="130"/>
  <c r="AK11" i="130"/>
  <c r="AE11" i="130"/>
  <c r="AN9" i="130"/>
  <c r="AK9" i="130"/>
  <c r="AE9" i="130"/>
  <c r="BD18" i="130"/>
  <c r="BA18" i="130"/>
  <c r="AU18" i="130"/>
  <c r="AN18" i="130"/>
  <c r="AK18" i="130"/>
  <c r="AE18" i="130"/>
  <c r="AN10" i="130"/>
  <c r="AK10" i="130"/>
  <c r="AE10" i="130"/>
  <c r="BD17" i="130"/>
  <c r="BA17" i="130"/>
  <c r="AU17" i="130"/>
  <c r="AN17" i="130"/>
  <c r="AK17" i="130"/>
  <c r="AE17" i="130"/>
  <c r="BD19" i="130"/>
  <c r="BA19" i="130"/>
  <c r="AU19" i="130"/>
  <c r="BD16" i="130"/>
  <c r="BA16" i="130"/>
  <c r="AU16" i="130"/>
  <c r="AT12" i="130"/>
  <c r="AM26" i="130"/>
  <c r="AO26" i="130"/>
  <c r="AK26" i="130"/>
  <c r="BE21" i="130" s="1"/>
  <c r="BF21" i="130" s="1"/>
  <c r="CD19" i="130" s="1"/>
  <c r="AX12" i="130"/>
  <c r="AV12" i="130"/>
  <c r="AT11" i="130"/>
  <c r="AK25" i="130"/>
  <c r="BE20" i="130" s="1"/>
  <c r="BF20" i="130" s="1"/>
  <c r="CD18" i="130" s="1"/>
  <c r="AM25" i="130"/>
  <c r="AO25" i="130"/>
  <c r="AV11" i="130"/>
  <c r="AX11" i="130"/>
  <c r="AT7" i="130"/>
  <c r="AK21" i="130"/>
  <c r="BK2" i="130" s="1"/>
  <c r="BL2" i="130" s="1"/>
  <c r="CD14" i="130" s="1"/>
  <c r="AM21" i="130"/>
  <c r="AO21" i="130"/>
  <c r="AX7" i="130"/>
  <c r="AV7" i="130"/>
  <c r="AT5" i="130"/>
  <c r="AO2" i="130"/>
  <c r="AM2" i="130"/>
  <c r="AK2" i="130"/>
  <c r="AY24" i="130" s="1"/>
  <c r="AZ24" i="130" s="1"/>
  <c r="CD12" i="130" s="1"/>
  <c r="AV5" i="130"/>
  <c r="AX5" i="130"/>
  <c r="AT1" i="130"/>
  <c r="AO12" i="130"/>
  <c r="AK12" i="130"/>
  <c r="AM12" i="130"/>
  <c r="AV1" i="130"/>
  <c r="AX1" i="130"/>
  <c r="AT10" i="130"/>
  <c r="AK24" i="130"/>
  <c r="BK5" i="130" s="1"/>
  <c r="BL5" i="130" s="1"/>
  <c r="CD17" i="130" s="1"/>
  <c r="AM24" i="130"/>
  <c r="AO24" i="130"/>
  <c r="AV10" i="130"/>
  <c r="AX10" i="130"/>
  <c r="AT8" i="130"/>
  <c r="AM22" i="130"/>
  <c r="AO22" i="130"/>
  <c r="AK22" i="130"/>
  <c r="BK3" i="130" s="1"/>
  <c r="BL3" i="130" s="1"/>
  <c r="CD15" i="130" s="1"/>
  <c r="AX8" i="130"/>
  <c r="AV8" i="130"/>
  <c r="AT4" i="130"/>
  <c r="AO1" i="130"/>
  <c r="AK1" i="130"/>
  <c r="AY23" i="130" s="1"/>
  <c r="AZ23" i="130" s="1"/>
  <c r="CD11" i="130" s="1"/>
  <c r="AM1" i="130"/>
  <c r="AX4" i="130"/>
  <c r="AV4" i="130"/>
  <c r="AT6" i="130"/>
  <c r="AK3" i="130"/>
  <c r="BK1" i="130" s="1"/>
  <c r="BL1" i="130" s="1"/>
  <c r="CD13" i="130" s="1"/>
  <c r="AM3" i="130"/>
  <c r="AO3" i="130"/>
  <c r="AX6" i="130"/>
  <c r="AV6" i="130"/>
  <c r="AT3" i="130"/>
  <c r="AK14" i="130"/>
  <c r="AY22" i="130" s="1"/>
  <c r="AZ22" i="130" s="1"/>
  <c r="CD10" i="130" s="1"/>
  <c r="AM14" i="130"/>
  <c r="AO14" i="130"/>
  <c r="AV3" i="130"/>
  <c r="AX3" i="130"/>
  <c r="AT9" i="130"/>
  <c r="AK23" i="130"/>
  <c r="BK4" i="130" s="1"/>
  <c r="BL4" i="130" s="1"/>
  <c r="CD16" i="130" s="1"/>
  <c r="AM23" i="130"/>
  <c r="AO23" i="130"/>
  <c r="AV9" i="130"/>
  <c r="AX9" i="130"/>
  <c r="AT2" i="130"/>
  <c r="AK13" i="130"/>
  <c r="AY21" i="130" s="1"/>
  <c r="AZ21" i="130" s="1"/>
  <c r="CD9" i="130" s="1"/>
  <c r="AM13" i="130"/>
  <c r="AO13" i="130"/>
  <c r="AV2" i="130"/>
  <c r="AX2" i="130"/>
  <c r="BB13" i="130"/>
  <c r="BB14" i="130" s="1"/>
  <c r="CU3" i="130"/>
  <c r="CS9" i="130"/>
  <c r="CS10" i="130" s="1"/>
  <c r="CU1" i="130"/>
  <c r="CZ24" i="130"/>
  <c r="CZ21" i="130"/>
  <c r="CU4" i="130"/>
  <c r="BQ6" i="130" l="1"/>
  <c r="BQ7" i="130" s="1"/>
  <c r="AQ19" i="130"/>
  <c r="AQ20" i="130" s="1"/>
  <c r="AY20" i="130"/>
  <c r="AZ20" i="130" s="1"/>
  <c r="CD8" i="130" s="1"/>
  <c r="AM27" i="130"/>
  <c r="AM28" i="130" s="1"/>
  <c r="AO27" i="130"/>
  <c r="AO28" i="130" s="1"/>
  <c r="E27" i="130"/>
  <c r="D27" i="130"/>
  <c r="AM19" i="130"/>
  <c r="AT27" i="130"/>
  <c r="F27" i="130"/>
  <c r="BY8" i="130"/>
  <c r="BY9" i="130"/>
  <c r="BY10" i="130"/>
  <c r="BY11" i="130"/>
  <c r="BY12" i="130"/>
  <c r="BY13" i="130"/>
  <c r="BY14" i="130"/>
  <c r="BY15" i="130"/>
  <c r="BY16" i="130"/>
  <c r="BY17" i="130"/>
  <c r="BY18" i="130"/>
  <c r="BY7" i="130"/>
  <c r="CG2" i="130"/>
  <c r="CG3" i="130"/>
  <c r="CG4" i="130"/>
  <c r="CG5" i="130"/>
  <c r="BO22" i="130"/>
  <c r="BO23" i="130"/>
  <c r="BO24" i="130"/>
  <c r="BO25" i="130"/>
  <c r="BC25" i="130"/>
  <c r="BC26" i="130"/>
  <c r="BC27" i="130"/>
  <c r="CG1" i="130"/>
  <c r="CH1" i="130" s="1"/>
  <c r="CS23" i="130"/>
  <c r="CM7" i="130"/>
  <c r="CM8" i="130"/>
  <c r="CN2" i="130"/>
  <c r="BN2" i="130"/>
  <c r="CJ1" i="130" l="1"/>
  <c r="CI1" i="130"/>
  <c r="BE13" i="130"/>
  <c r="BE14" i="130" s="1"/>
  <c r="BC28" i="130"/>
  <c r="BC29" i="130" s="1"/>
  <c r="BY19" i="130"/>
  <c r="BY20" i="130" s="1"/>
  <c r="BI13" i="130"/>
  <c r="BI14" i="130" s="1"/>
  <c r="CH5" i="130"/>
  <c r="BP25" i="130"/>
  <c r="BD26" i="130"/>
  <c r="BD27" i="130"/>
  <c r="CS24" i="130"/>
  <c r="CS22" i="130"/>
  <c r="CS21" i="130"/>
  <c r="CN6" i="130"/>
  <c r="CN5" i="130"/>
  <c r="CN4" i="130"/>
  <c r="CN3" i="130"/>
  <c r="CN1" i="130"/>
  <c r="BD25" i="130"/>
  <c r="BP22" i="130"/>
  <c r="BN24" i="130"/>
  <c r="BP24" i="130"/>
  <c r="BP23" i="130"/>
  <c r="CH4" i="130"/>
  <c r="CH3" i="130"/>
  <c r="CH2" i="130"/>
  <c r="BR25" i="130" l="1"/>
  <c r="BQ25" i="130"/>
  <c r="BR24" i="130"/>
  <c r="BQ24" i="130"/>
  <c r="BF26" i="130"/>
  <c r="BE26" i="130"/>
  <c r="CJ5" i="130"/>
  <c r="CI5" i="130"/>
  <c r="BR23" i="130"/>
  <c r="BQ23" i="130"/>
  <c r="CJ4" i="130"/>
  <c r="CI4" i="130"/>
  <c r="BF27" i="130"/>
  <c r="BE27" i="130"/>
  <c r="BR22" i="130"/>
  <c r="BQ22" i="130"/>
  <c r="CJ2" i="130"/>
  <c r="CI2" i="130"/>
  <c r="CJ3" i="130"/>
  <c r="CI3" i="130"/>
  <c r="BF25" i="130"/>
  <c r="BE25" i="130"/>
  <c r="BD28" i="130"/>
  <c r="BD29" i="130" s="1"/>
  <c r="CM9" i="130"/>
  <c r="CM10" i="130" s="1"/>
  <c r="BB26" i="130"/>
  <c r="BN23" i="130"/>
  <c r="BB25" i="130"/>
  <c r="BN25" i="130"/>
  <c r="BB27" i="130"/>
  <c r="BA22" i="130" l="1"/>
  <c r="BA23" i="130" s="1"/>
  <c r="BB22" i="130"/>
  <c r="BB23" i="130" s="1"/>
  <c r="BN22" i="130" l="1"/>
  <c r="CF5" i="130"/>
  <c r="CF4" i="130"/>
  <c r="CF3" i="130"/>
  <c r="CF2" i="130"/>
  <c r="CF1" i="130"/>
  <c r="BA28" i="130" l="1"/>
  <c r="BA29" i="130" s="1"/>
  <c r="CT9" i="130"/>
  <c r="CT10" i="130" s="1"/>
  <c r="BB28" i="130"/>
  <c r="BB29" i="130" s="1"/>
  <c r="BF28" i="130" l="1"/>
  <c r="BF29" i="130" s="1"/>
  <c r="BZ7" i="130"/>
  <c r="CO1" i="130"/>
  <c r="CA7" i="130" l="1"/>
  <c r="AF12" i="130"/>
  <c r="AE13" i="130" s="1"/>
  <c r="AG12" i="130" l="1"/>
  <c r="AS12" i="130" s="1"/>
  <c r="AR12" i="130" s="1"/>
  <c r="AH12" i="130"/>
  <c r="AI12" i="130" l="1"/>
  <c r="AF13" i="130"/>
  <c r="AE14" i="130" s="1"/>
  <c r="AG13" i="130" l="1"/>
  <c r="AS13" i="130" s="1"/>
  <c r="AR13" i="130" s="1"/>
  <c r="AH13" i="130"/>
  <c r="AI13" i="130" l="1"/>
  <c r="AF14" i="130"/>
  <c r="AE1" i="130" s="1"/>
  <c r="AG14" i="130" l="1"/>
  <c r="AS14" i="130" s="1"/>
  <c r="AR14" i="130" s="1"/>
  <c r="AH14" i="130"/>
  <c r="AI14" i="130" l="1"/>
  <c r="AF1" i="130"/>
  <c r="AE2" i="130" s="1"/>
  <c r="AG1" i="130" l="1"/>
  <c r="AS1" i="130" s="1"/>
  <c r="AR1" i="130" s="1"/>
  <c r="AH1" i="130"/>
  <c r="AI1" i="130" l="1"/>
  <c r="AF2" i="130"/>
  <c r="AE3" i="130" s="1"/>
  <c r="AG2" i="130" l="1"/>
  <c r="AS2" i="130" s="1"/>
  <c r="AR2" i="130" s="1"/>
  <c r="AH2" i="130"/>
  <c r="AI2" i="130" l="1"/>
  <c r="AF3" i="130"/>
  <c r="AE21" i="130" s="1"/>
  <c r="AH3" i="130" l="1"/>
  <c r="AG3" i="130"/>
  <c r="AS3" i="130" s="1"/>
  <c r="AR3" i="130" s="1"/>
  <c r="AI3" i="130" l="1"/>
  <c r="AF21" i="130"/>
  <c r="AE22" i="130" s="1"/>
  <c r="AH21" i="130" l="1"/>
  <c r="AG21" i="130"/>
  <c r="AS21" i="130" s="1"/>
  <c r="AR21" i="130" s="1"/>
  <c r="AI21" i="130" l="1"/>
  <c r="AF22" i="130"/>
  <c r="AE23" i="130" s="1"/>
  <c r="AG22" i="130" l="1"/>
  <c r="AS22" i="130" s="1"/>
  <c r="AR22" i="130" s="1"/>
  <c r="AH22" i="130"/>
  <c r="AI22" i="130" l="1"/>
  <c r="AF23" i="130"/>
  <c r="AE24" i="130" s="1"/>
  <c r="AG23" i="130" l="1"/>
  <c r="AS23" i="130" s="1"/>
  <c r="AR23" i="130" s="1"/>
  <c r="AH23" i="130"/>
  <c r="AI23" i="130" l="1"/>
  <c r="AF24" i="130"/>
  <c r="AE25" i="130" s="1"/>
  <c r="AH24" i="130" l="1"/>
  <c r="AG24" i="130"/>
  <c r="AS24" i="130" s="1"/>
  <c r="AR24" i="130" s="1"/>
  <c r="AI24" i="130" l="1"/>
  <c r="AF25" i="130"/>
  <c r="AE26" i="130" s="1"/>
  <c r="AH25" i="130" l="1"/>
  <c r="AG25" i="130"/>
  <c r="AS25" i="130" s="1"/>
  <c r="AR25" i="130" s="1"/>
  <c r="AI25" i="130" l="1"/>
  <c r="AF26" i="130"/>
  <c r="AG26" i="130" l="1"/>
  <c r="AS26" i="130" s="1"/>
  <c r="AR26" i="130" s="1"/>
  <c r="AH26" i="130"/>
  <c r="AH27" i="130" s="1"/>
  <c r="AG27" i="130" l="1"/>
  <c r="AI26" i="130"/>
  <c r="AI27" i="130" s="1"/>
  <c r="BN5" i="130" l="1"/>
  <c r="BN4" i="130"/>
  <c r="BN3" i="130"/>
  <c r="BP2" i="130" l="1"/>
  <c r="BP3" i="130" s="1"/>
  <c r="BP4" i="130" s="1"/>
  <c r="BP5" i="130" s="1"/>
  <c r="BZ12" i="130" l="1"/>
  <c r="CO6" i="130"/>
  <c r="BZ10" i="130"/>
  <c r="CO4" i="130"/>
  <c r="BZ8" i="130"/>
  <c r="CO2" i="130"/>
  <c r="CA8" i="130" l="1"/>
  <c r="CB8" i="130" s="1"/>
  <c r="BZ9" i="130"/>
  <c r="CO3" i="130"/>
  <c r="BZ11" i="130"/>
  <c r="CO5" i="130"/>
  <c r="CA10" i="130"/>
  <c r="CB10" i="130" s="1"/>
  <c r="CA12" i="130"/>
  <c r="CB12" i="130" s="1"/>
  <c r="CA11" i="130"/>
  <c r="CB11" i="130" s="1"/>
  <c r="CA9" i="130" l="1"/>
  <c r="CB9" i="130" s="1"/>
  <c r="BZ13" i="130"/>
  <c r="CA13" i="130" s="1"/>
  <c r="CB13" i="130" s="1"/>
  <c r="CT21" i="130"/>
  <c r="BZ17" i="130" l="1"/>
  <c r="CN7" i="130"/>
  <c r="BZ15" i="130"/>
  <c r="CT23" i="130"/>
  <c r="BZ16" i="130"/>
  <c r="CT24" i="130"/>
  <c r="BZ14" i="130"/>
  <c r="CT22" i="130"/>
  <c r="CN8" i="130"/>
  <c r="CA17" i="130" l="1"/>
  <c r="CB17" i="130" s="1"/>
  <c r="CA16" i="130"/>
  <c r="CB16" i="130" s="1"/>
  <c r="CN9" i="130"/>
  <c r="CN10" i="130" s="1"/>
  <c r="BE28" i="130"/>
  <c r="BE29" i="130" s="1"/>
  <c r="CA14" i="130"/>
  <c r="CB14" i="130" s="1"/>
  <c r="CA15" i="130"/>
  <c r="CB15" i="130" s="1"/>
  <c r="BZ18" i="130"/>
  <c r="BZ19" i="130" l="1"/>
  <c r="BZ20" i="130" s="1"/>
  <c r="CA18" i="130"/>
  <c r="CB18" i="130" s="1"/>
  <c r="CC18" i="130" s="1"/>
  <c r="CJ8" i="130" s="1"/>
  <c r="CK8" i="130" s="1"/>
  <c r="CB7" i="130"/>
  <c r="CC7" i="130" s="1"/>
  <c r="CK1" i="130" s="1"/>
  <c r="CL1" i="130" s="1"/>
  <c r="CC9" i="130"/>
  <c r="CK3" i="130" s="1"/>
  <c r="CL3" i="130" s="1"/>
  <c r="CC10" i="130"/>
  <c r="CK4" i="130" s="1"/>
  <c r="CL4" i="130" s="1"/>
  <c r="CC11" i="130"/>
  <c r="CK5" i="130" s="1"/>
  <c r="CL5" i="130" s="1"/>
  <c r="CC12" i="130"/>
  <c r="CK6" i="130" s="1"/>
  <c r="CL6" i="130" s="1"/>
  <c r="CC13" i="130"/>
  <c r="CP21" i="130" s="1"/>
  <c r="CQ21" i="130" s="1"/>
  <c r="CC14" i="130"/>
  <c r="CP22" i="130" s="1"/>
  <c r="CQ22" i="130" s="1"/>
  <c r="CC15" i="130"/>
  <c r="CP23" i="130" s="1"/>
  <c r="CQ23" i="130" s="1"/>
  <c r="CC16" i="130"/>
  <c r="CP24" i="130" s="1"/>
  <c r="CQ24" i="130" s="1"/>
  <c r="CC17" i="130"/>
  <c r="CJ7" i="130" s="1"/>
  <c r="CK7" i="130" s="1"/>
  <c r="CR23" i="130" l="1"/>
  <c r="CR22" i="130"/>
  <c r="CM5" i="130"/>
  <c r="CR24" i="130"/>
  <c r="CR21" i="130"/>
  <c r="CM3" i="130"/>
  <c r="CM1" i="130"/>
  <c r="CL7" i="130"/>
  <c r="CM6" i="130"/>
  <c r="CM4" i="130"/>
  <c r="CL8" i="130"/>
  <c r="CC8" i="130"/>
  <c r="CK2" i="130" s="1"/>
  <c r="CL2" i="130" s="1"/>
  <c r="CK23" i="130" l="1"/>
  <c r="CK24" i="130" s="1"/>
  <c r="CM2" i="130"/>
  <c r="CK9" i="130" l="1"/>
  <c r="CK10" i="130" s="1"/>
  <c r="AK27" i="130" l="1"/>
  <c r="AK28" i="130" s="1"/>
  <c r="AX13" i="130" l="1"/>
  <c r="AX14" i="130" s="1"/>
  <c r="AV13" i="130"/>
  <c r="AV14" i="130" s="1"/>
  <c r="AK19" i="130"/>
  <c r="AR27" i="130"/>
  <c r="AR28" i="130" s="1"/>
  <c r="AK20" i="130" l="1"/>
  <c r="CX9" i="130"/>
  <c r="CX10" i="130" s="1"/>
  <c r="CD20" i="130" l="1"/>
  <c r="CD21" i="130" s="1"/>
  <c r="AT13" i="130" l="1"/>
  <c r="AT14" i="130" s="1"/>
  <c r="AF19" i="130"/>
  <c r="AF20" i="130" s="1"/>
  <c r="AN19" i="130"/>
  <c r="AN20" i="130" s="1"/>
  <c r="Q6" i="130" l="1"/>
  <c r="P6" i="130" s="1"/>
  <c r="BF22" i="130"/>
  <c r="BF23" i="130" s="1"/>
  <c r="BE22" i="130"/>
  <c r="BE23" i="130" s="1"/>
  <c r="Q13" i="130" l="1"/>
  <c r="P13" i="130" s="1"/>
  <c r="AI19" i="130" l="1"/>
  <c r="AI20" i="130" s="1"/>
  <c r="AG19" i="130"/>
  <c r="AG20" i="130" s="1"/>
  <c r="AH19" i="130"/>
  <c r="AH20" i="130" l="1"/>
  <c r="AL27" i="130"/>
  <c r="AL28" i="130" s="1"/>
  <c r="AN27" i="130"/>
  <c r="AN28" i="130" s="1"/>
  <c r="AP27" i="130" l="1"/>
  <c r="AP28" i="130" s="1"/>
  <c r="AS27" i="130"/>
  <c r="AS28" i="130" l="1"/>
  <c r="Q1" i="130" s="1"/>
  <c r="P1" i="130" s="1"/>
  <c r="AU13" i="130"/>
  <c r="AU14" i="130" s="1"/>
  <c r="Q2" i="130" s="1"/>
  <c r="P2" i="130" s="1"/>
  <c r="AW13" i="130"/>
  <c r="AW14" i="130" s="1"/>
  <c r="Q3" i="130" s="1"/>
  <c r="P3" i="130" s="1"/>
  <c r="AY13" i="130"/>
  <c r="AY14" i="130" l="1"/>
  <c r="Q4" i="130" s="1"/>
  <c r="P4" i="130" s="1"/>
  <c r="BA13" i="130"/>
  <c r="BA14" i="130" s="1"/>
  <c r="Q5" i="130" s="1"/>
  <c r="P5" i="130" s="1"/>
  <c r="BK13" i="130"/>
  <c r="BK14" i="130" s="1"/>
  <c r="AE19" i="130"/>
  <c r="AE20" i="130" s="1"/>
  <c r="AL19" i="130"/>
  <c r="AL20" i="130" s="1"/>
  <c r="Q7" i="130" l="1"/>
  <c r="P7" i="130" s="1"/>
  <c r="AO19" i="130"/>
  <c r="AO20" i="130" l="1"/>
  <c r="Q8" i="130" s="1"/>
  <c r="P8" i="130" s="1"/>
  <c r="CL11" i="130"/>
  <c r="CL12" i="130"/>
  <c r="CL13" i="130"/>
  <c r="CL14" i="130"/>
  <c r="CL15" i="130"/>
  <c r="CL16" i="130"/>
  <c r="CL17" i="130"/>
  <c r="CL18" i="130"/>
  <c r="CL19" i="130"/>
  <c r="CL20" i="130"/>
  <c r="CL21" i="130"/>
  <c r="CL22" i="130"/>
  <c r="CJ23" i="130"/>
  <c r="CJ24" i="130" s="1"/>
  <c r="CL23" i="130" l="1"/>
  <c r="CL24" i="130" s="1"/>
  <c r="CN11" i="130"/>
  <c r="CO11" i="130"/>
  <c r="CN12" i="130"/>
  <c r="CO12" i="130"/>
  <c r="CN13" i="130"/>
  <c r="CO13" i="130"/>
  <c r="CN14" i="130"/>
  <c r="CO14" i="130"/>
  <c r="CN15" i="130"/>
  <c r="CO15" i="130"/>
  <c r="CN16" i="130"/>
  <c r="CO16" i="130"/>
  <c r="CN17" i="130"/>
  <c r="CO17" i="130"/>
  <c r="CN18" i="130"/>
  <c r="CO18" i="130"/>
  <c r="CN19" i="130"/>
  <c r="CO19" i="130"/>
  <c r="CN20" i="130"/>
  <c r="CO20" i="130"/>
  <c r="CN21" i="130"/>
  <c r="CO21" i="130"/>
  <c r="CN22" i="130"/>
  <c r="CO22" i="130"/>
  <c r="Q18" i="130" l="1"/>
  <c r="P18" i="130" s="1"/>
  <c r="BC22" i="130"/>
  <c r="BC23" i="130" l="1"/>
  <c r="Q12" i="130"/>
  <c r="P12" i="130" s="1"/>
  <c r="BY1" i="130"/>
  <c r="BZ1" i="130"/>
  <c r="CA1" i="130"/>
  <c r="CQ1" i="130"/>
  <c r="CR1" i="130"/>
  <c r="CS1" i="130"/>
  <c r="CV1" i="130"/>
  <c r="CW1" i="130"/>
  <c r="BY2" i="130"/>
  <c r="BZ2" i="130"/>
  <c r="CA2" i="130"/>
  <c r="CQ2" i="130"/>
  <c r="CR2" i="130"/>
  <c r="CS2" i="130"/>
  <c r="CV2" i="130"/>
  <c r="CW2" i="130"/>
  <c r="BY3" i="130"/>
  <c r="BZ3" i="130"/>
  <c r="CA3" i="130"/>
  <c r="CQ3" i="130"/>
  <c r="CR3" i="130"/>
  <c r="CS3" i="130"/>
  <c r="CV3" i="130"/>
  <c r="CW3" i="130"/>
  <c r="AE4" i="130"/>
  <c r="AH4" i="130"/>
  <c r="AI4" i="130"/>
  <c r="AK4" i="130"/>
  <c r="AL4" i="130"/>
  <c r="AM4" i="130"/>
  <c r="AO4" i="130"/>
  <c r="BY4" i="130"/>
  <c r="BZ4" i="130"/>
  <c r="CA4" i="130"/>
  <c r="CQ4" i="130"/>
  <c r="CR4" i="130"/>
  <c r="CS4" i="130"/>
  <c r="CV4" i="130"/>
  <c r="CW4" i="130"/>
  <c r="AE5" i="130"/>
  <c r="AH5" i="130"/>
  <c r="AI5" i="130"/>
  <c r="AK5" i="130"/>
  <c r="AL5" i="130"/>
  <c r="AM5" i="130"/>
  <c r="AO5" i="130"/>
  <c r="BY5" i="130"/>
  <c r="BZ5" i="130"/>
  <c r="CA5" i="130"/>
  <c r="CQ5" i="130"/>
  <c r="CR5" i="130"/>
  <c r="CS5" i="130"/>
  <c r="CV5" i="130"/>
  <c r="CW5" i="130"/>
  <c r="AE6" i="130"/>
  <c r="AH6" i="130"/>
  <c r="AI6" i="130"/>
  <c r="AK6" i="130"/>
  <c r="AL6" i="130"/>
  <c r="AM6" i="130"/>
  <c r="AO6" i="130"/>
  <c r="AZ6" i="130"/>
  <c r="BC6" i="130"/>
  <c r="BD6" i="130"/>
  <c r="BF6" i="130"/>
  <c r="BG6" i="130"/>
  <c r="BH6" i="130"/>
  <c r="BJ6" i="130"/>
  <c r="CQ6" i="130"/>
  <c r="CR6" i="130"/>
  <c r="CS6" i="130"/>
  <c r="CV6" i="130"/>
  <c r="CW6" i="130"/>
  <c r="AE7" i="130"/>
  <c r="AH7" i="130"/>
  <c r="AI7" i="130"/>
  <c r="AK7" i="130"/>
  <c r="AL7" i="130"/>
  <c r="AM7" i="130"/>
  <c r="AO7" i="130"/>
  <c r="AZ7" i="130"/>
  <c r="BC7" i="130"/>
  <c r="BD7" i="130"/>
  <c r="BF7" i="130"/>
  <c r="BG7" i="130"/>
  <c r="BH7" i="130"/>
  <c r="BJ7" i="130"/>
  <c r="CP7" i="130"/>
  <c r="CQ7" i="130"/>
  <c r="CR7" i="130"/>
  <c r="CU7" i="130"/>
  <c r="CV7" i="130"/>
  <c r="CW7" i="130"/>
  <c r="CY7" i="130"/>
  <c r="CZ7" i="130"/>
  <c r="DA7" i="130"/>
  <c r="DB7" i="130"/>
  <c r="AE8" i="130"/>
  <c r="AH8" i="130"/>
  <c r="AI8" i="130"/>
  <c r="AK8" i="130"/>
  <c r="AL8" i="130"/>
  <c r="AM8" i="130"/>
  <c r="AO8" i="130"/>
  <c r="AZ8" i="130"/>
  <c r="BC8" i="130"/>
  <c r="BD8" i="130"/>
  <c r="BF8" i="130"/>
  <c r="BG8" i="130"/>
  <c r="BH8" i="130"/>
  <c r="BJ8" i="130"/>
  <c r="CE8" i="130"/>
  <c r="CF8" i="130"/>
  <c r="CG8" i="130"/>
  <c r="CH8" i="130"/>
  <c r="CP8" i="130"/>
  <c r="CQ8" i="130"/>
  <c r="CR8" i="130"/>
  <c r="CU8" i="130"/>
  <c r="CV8" i="130"/>
  <c r="CW8" i="130"/>
  <c r="CY8" i="130"/>
  <c r="CZ8" i="130"/>
  <c r="DA8" i="130"/>
  <c r="DB8" i="130"/>
  <c r="AZ9" i="130"/>
  <c r="BC9" i="130"/>
  <c r="BD9" i="130"/>
  <c r="BF9" i="130"/>
  <c r="BG9" i="130"/>
  <c r="BH9" i="130"/>
  <c r="BJ9" i="130"/>
  <c r="CE9" i="130"/>
  <c r="CF9" i="130"/>
  <c r="CG9" i="130"/>
  <c r="CH9" i="130"/>
  <c r="CP9" i="130"/>
  <c r="CQ9" i="130"/>
  <c r="CR9" i="130"/>
  <c r="CU9" i="130"/>
  <c r="CV9" i="130"/>
  <c r="CW9" i="130"/>
  <c r="CY9" i="130"/>
  <c r="CZ9" i="130"/>
  <c r="DA9" i="130"/>
  <c r="DB9" i="130"/>
  <c r="AZ10" i="130"/>
  <c r="BC10" i="130"/>
  <c r="BD10" i="130"/>
  <c r="BF10" i="130"/>
  <c r="BG10" i="130"/>
  <c r="BH10" i="130"/>
  <c r="BJ10" i="130"/>
  <c r="CE10" i="130"/>
  <c r="CF10" i="130"/>
  <c r="CG10" i="130"/>
  <c r="CH10" i="130"/>
  <c r="CP10" i="130"/>
  <c r="CQ10" i="130"/>
  <c r="CR10" i="130"/>
  <c r="CU10" i="130"/>
  <c r="CV10" i="130"/>
  <c r="CW10" i="130"/>
  <c r="CY10" i="130"/>
  <c r="CZ10" i="130"/>
  <c r="DA10" i="130"/>
  <c r="DB10" i="130"/>
  <c r="AZ11" i="130"/>
  <c r="BC11" i="130"/>
  <c r="BD11" i="130"/>
  <c r="BF11" i="130"/>
  <c r="BG11" i="130"/>
  <c r="BH11" i="130"/>
  <c r="BJ11" i="130"/>
  <c r="CE11" i="130"/>
  <c r="CF11" i="130"/>
  <c r="CG11" i="130"/>
  <c r="CH11" i="130"/>
  <c r="CP11" i="130"/>
  <c r="CR11" i="130"/>
  <c r="CS11" i="130"/>
  <c r="CU11" i="130"/>
  <c r="CV11" i="130"/>
  <c r="CW11" i="130"/>
  <c r="CX11" i="130"/>
  <c r="CY11" i="130"/>
  <c r="DA11" i="130"/>
  <c r="DB11" i="130"/>
  <c r="DC11" i="130"/>
  <c r="DD11" i="130"/>
  <c r="DE11" i="130"/>
  <c r="AZ12" i="130"/>
  <c r="BC12" i="130"/>
  <c r="BD12" i="130"/>
  <c r="BF12" i="130"/>
  <c r="BG12" i="130"/>
  <c r="BH12" i="130"/>
  <c r="BJ12" i="130"/>
  <c r="CE12" i="130"/>
  <c r="CF12" i="130"/>
  <c r="CG12" i="130"/>
  <c r="CH12" i="130"/>
  <c r="CP12" i="130"/>
  <c r="CR12" i="130"/>
  <c r="CS12" i="130"/>
  <c r="CU12" i="130"/>
  <c r="CV12" i="130"/>
  <c r="CW12" i="130"/>
  <c r="CX12" i="130"/>
  <c r="CY12" i="130"/>
  <c r="DA12" i="130"/>
  <c r="DB12" i="130"/>
  <c r="DC12" i="130"/>
  <c r="DD12" i="130"/>
  <c r="DE12" i="130"/>
  <c r="AZ13" i="130"/>
  <c r="BC13" i="130"/>
  <c r="BD13" i="130"/>
  <c r="BF13" i="130"/>
  <c r="BG13" i="130"/>
  <c r="BH13" i="130"/>
  <c r="BJ13" i="130"/>
  <c r="CE13" i="130"/>
  <c r="CF13" i="130"/>
  <c r="CG13" i="130"/>
  <c r="CH13" i="130"/>
  <c r="CP13" i="130"/>
  <c r="CR13" i="130"/>
  <c r="CS13" i="130"/>
  <c r="CU13" i="130"/>
  <c r="CV13" i="130"/>
  <c r="CW13" i="130"/>
  <c r="CX13" i="130"/>
  <c r="CY13" i="130"/>
  <c r="DA13" i="130"/>
  <c r="DB13" i="130"/>
  <c r="DC13" i="130"/>
  <c r="DD13" i="130"/>
  <c r="DE13" i="130"/>
  <c r="P14" i="130"/>
  <c r="Q14" i="130"/>
  <c r="AZ14" i="130"/>
  <c r="BC14" i="130"/>
  <c r="BD14" i="130"/>
  <c r="BF14" i="130"/>
  <c r="BG14" i="130"/>
  <c r="BH14" i="130"/>
  <c r="BJ14" i="130"/>
  <c r="CE14" i="130"/>
  <c r="CF14" i="130"/>
  <c r="CG14" i="130"/>
  <c r="CH14" i="130"/>
  <c r="CP14" i="130"/>
  <c r="CR14" i="130"/>
  <c r="CS14" i="130"/>
  <c r="CU14" i="130"/>
  <c r="CV14" i="130"/>
  <c r="CW14" i="130"/>
  <c r="CX14" i="130"/>
  <c r="CY14" i="130"/>
  <c r="DA14" i="130"/>
  <c r="DB14" i="130"/>
  <c r="DC14" i="130"/>
  <c r="DD14" i="130"/>
  <c r="DE14" i="130"/>
  <c r="L15" i="130"/>
  <c r="M15" i="130"/>
  <c r="N15" i="130"/>
  <c r="P15" i="130"/>
  <c r="Q15" i="130"/>
  <c r="CE15" i="130"/>
  <c r="CF15" i="130"/>
  <c r="CG15" i="130"/>
  <c r="CH15" i="130"/>
  <c r="CP15" i="130"/>
  <c r="CR15" i="130"/>
  <c r="CS15" i="130"/>
  <c r="CU15" i="130"/>
  <c r="CV15" i="130"/>
  <c r="CW15" i="130"/>
  <c r="CX15" i="130"/>
  <c r="CY15" i="130"/>
  <c r="DA15" i="130"/>
  <c r="DB15" i="130"/>
  <c r="DC15" i="130"/>
  <c r="DD15" i="130"/>
  <c r="DE15" i="130"/>
  <c r="L16" i="130"/>
  <c r="M16" i="130"/>
  <c r="N16" i="130"/>
  <c r="P16" i="130"/>
  <c r="Q16" i="130"/>
  <c r="CE16" i="130"/>
  <c r="CF16" i="130"/>
  <c r="CG16" i="130"/>
  <c r="CH16" i="130"/>
  <c r="CP16" i="130"/>
  <c r="CR16" i="130"/>
  <c r="CS16" i="130"/>
  <c r="CU16" i="130"/>
  <c r="CV16" i="130"/>
  <c r="CW16" i="130"/>
  <c r="CX16" i="130"/>
  <c r="CY16" i="130"/>
  <c r="DA16" i="130"/>
  <c r="DB16" i="130"/>
  <c r="DC16" i="130"/>
  <c r="DD16" i="130"/>
  <c r="DE16" i="130"/>
  <c r="L17" i="130"/>
  <c r="M17" i="130"/>
  <c r="N17" i="130"/>
  <c r="P17" i="130"/>
  <c r="Q17" i="130"/>
  <c r="BU17" i="130"/>
  <c r="BV17" i="130"/>
  <c r="CE17" i="130"/>
  <c r="CF17" i="130"/>
  <c r="CG17" i="130"/>
  <c r="CH17" i="130"/>
  <c r="CP17" i="130"/>
  <c r="CR17" i="130"/>
  <c r="CS17" i="130"/>
  <c r="CU17" i="130"/>
  <c r="CV17" i="130"/>
  <c r="CW17" i="130"/>
  <c r="CX17" i="130"/>
  <c r="CY17" i="130"/>
  <c r="DA17" i="130"/>
  <c r="DB17" i="130"/>
  <c r="DC17" i="130"/>
  <c r="DD17" i="130"/>
  <c r="DE17" i="130"/>
  <c r="L18" i="130"/>
  <c r="M18" i="130"/>
  <c r="N18" i="130"/>
  <c r="BU18" i="130"/>
  <c r="BV18" i="130"/>
  <c r="CE18" i="130"/>
  <c r="CF18" i="130"/>
  <c r="CG18" i="130"/>
  <c r="CH18" i="130"/>
  <c r="CP18" i="130"/>
  <c r="CR18" i="130"/>
  <c r="CS18" i="130"/>
  <c r="L19" i="130"/>
  <c r="M19" i="130"/>
  <c r="N19" i="130"/>
  <c r="P19" i="130"/>
  <c r="Q19" i="130"/>
  <c r="BU19" i="130"/>
  <c r="BV19" i="130"/>
  <c r="CE19" i="130"/>
  <c r="CF19" i="130"/>
  <c r="CG19" i="130"/>
  <c r="CH19" i="130"/>
  <c r="CP19" i="130"/>
  <c r="CR19" i="130"/>
  <c r="CS19" i="130"/>
  <c r="L20" i="130"/>
  <c r="M20" i="130"/>
  <c r="N20" i="130"/>
  <c r="P20" i="130"/>
  <c r="Q20" i="130"/>
  <c r="BU20" i="130"/>
  <c r="BV20" i="130"/>
  <c r="CE20" i="130"/>
  <c r="CP20" i="130"/>
  <c r="CR20" i="130"/>
  <c r="CS20" i="130"/>
  <c r="L21" i="130"/>
  <c r="M21" i="130"/>
  <c r="N21" i="130"/>
  <c r="P21" i="130"/>
  <c r="Q21" i="130"/>
  <c r="BU21" i="130"/>
  <c r="BV21" i="130"/>
  <c r="CE21" i="130"/>
  <c r="CV21" i="130"/>
  <c r="CW21" i="130"/>
  <c r="CX21" i="130"/>
  <c r="DA21" i="130"/>
  <c r="DB21" i="130"/>
  <c r="L22" i="130"/>
  <c r="M22" i="130"/>
  <c r="N22" i="130"/>
  <c r="BG22" i="130"/>
  <c r="BH22" i="130"/>
  <c r="BI22" i="130"/>
  <c r="BU22" i="130"/>
  <c r="BV22" i="130"/>
  <c r="CV22" i="130"/>
  <c r="CW22" i="130"/>
  <c r="CX22" i="130"/>
  <c r="DA22" i="130"/>
  <c r="DB22" i="130"/>
  <c r="L23" i="130"/>
  <c r="M23" i="130"/>
  <c r="N23" i="130"/>
  <c r="BG23" i="130"/>
  <c r="BH23" i="130"/>
  <c r="BI23" i="130"/>
  <c r="BU23" i="130"/>
  <c r="BV23" i="130"/>
  <c r="CV23" i="130"/>
  <c r="CW23" i="130"/>
  <c r="CX23" i="130"/>
  <c r="DA23" i="130"/>
  <c r="DB23" i="130"/>
  <c r="L24" i="130"/>
  <c r="M24" i="130"/>
  <c r="N24" i="130"/>
  <c r="BG24" i="130"/>
  <c r="BH24" i="130"/>
  <c r="BI24" i="130"/>
  <c r="BU24" i="130"/>
  <c r="BV24" i="130"/>
  <c r="CV24" i="130"/>
  <c r="CW24" i="130"/>
  <c r="CX24" i="130"/>
  <c r="DA24" i="130"/>
  <c r="DB24" i="130"/>
  <c r="L25" i="130"/>
  <c r="M25" i="130"/>
  <c r="N25" i="130"/>
  <c r="AU25" i="130"/>
  <c r="AV25" i="130"/>
  <c r="AW25" i="130"/>
  <c r="BG25" i="130"/>
  <c r="BH25" i="130"/>
  <c r="BI25" i="130"/>
  <c r="BU25" i="130"/>
  <c r="BV25" i="130"/>
  <c r="L26" i="130"/>
  <c r="M26" i="130"/>
  <c r="N26" i="130"/>
  <c r="AU26" i="130"/>
  <c r="AV26" i="130"/>
  <c r="AW26" i="130"/>
  <c r="BU26" i="130"/>
  <c r="BV26" i="130"/>
  <c r="L27" i="130"/>
  <c r="M27" i="130"/>
  <c r="N27" i="130"/>
  <c r="AU27" i="130"/>
  <c r="AV27" i="130"/>
  <c r="AW27" i="130"/>
  <c r="L28" i="130"/>
  <c r="M28" i="130"/>
  <c r="N28" i="130"/>
  <c r="AU28" i="130"/>
  <c r="AV28" i="130"/>
  <c r="AW28" i="130"/>
  <c r="AU29" i="130"/>
  <c r="AV29" i="130"/>
  <c r="AW29" i="130"/>
</calcChain>
</file>

<file path=xl/sharedStrings.xml><?xml version="1.0" encoding="utf-8"?>
<sst xmlns="http://schemas.openxmlformats.org/spreadsheetml/2006/main" count="760" uniqueCount="156">
  <si>
    <t>-</t>
  </si>
  <si>
    <t>Yok</t>
  </si>
  <si>
    <t>Temizlik Yardımı</t>
  </si>
  <si>
    <t>Doğal Afet Yardımı</t>
  </si>
  <si>
    <t>Kıdem Yardımı</t>
  </si>
  <si>
    <t>Sayılar</t>
  </si>
  <si>
    <t>Resmi Tatillerde Çalışma</t>
  </si>
  <si>
    <t>SGK Prim Kesintisi</t>
  </si>
  <si>
    <t>SGK İşsizlik Primi Kesintisi</t>
  </si>
  <si>
    <t>Yemek Yardımı</t>
  </si>
  <si>
    <t>Sosyal Yardım</t>
  </si>
  <si>
    <t>Evlilik Yardımı</t>
  </si>
  <si>
    <t>Var</t>
  </si>
  <si>
    <t>OCA</t>
  </si>
  <si>
    <t>ŞUB</t>
  </si>
  <si>
    <t>MAR</t>
  </si>
  <si>
    <t>NİS</t>
  </si>
  <si>
    <t>MAY</t>
  </si>
  <si>
    <t>HAZ</t>
  </si>
  <si>
    <t>TEM</t>
  </si>
  <si>
    <t>AĞU</t>
  </si>
  <si>
    <t>EYL</t>
  </si>
  <si>
    <t>EKİ</t>
  </si>
  <si>
    <t>KAS</t>
  </si>
  <si>
    <t>ARA</t>
  </si>
  <si>
    <t>Annelik İzni</t>
  </si>
  <si>
    <t>Analık Hâli İzni</t>
  </si>
  <si>
    <t>Babalık İzni</t>
  </si>
  <si>
    <t>Süt İzni</t>
  </si>
  <si>
    <t>Engelli Çocuk İzni</t>
  </si>
  <si>
    <t>Evlat Edinme İzni</t>
  </si>
  <si>
    <t>Doğal Afet İzni</t>
  </si>
  <si>
    <t>Ulaşım Yardımı</t>
  </si>
  <si>
    <t>Normal Çalışma</t>
  </si>
  <si>
    <t>BES Kesintisi</t>
  </si>
  <si>
    <t>Damga Vergisi Kesintisi</t>
  </si>
  <si>
    <t>Gelir Vergisi Kesintisi</t>
  </si>
  <si>
    <t>İkramiye Yardımı</t>
  </si>
  <si>
    <t>İş Kazası veya Meslek Hastalığı Tazminatı</t>
  </si>
  <si>
    <t>Nakdi Yardımlar</t>
  </si>
  <si>
    <t>Sendika Üyelik Aidatı Kesintisi</t>
  </si>
  <si>
    <t>Gıda Yardımı</t>
  </si>
  <si>
    <t>Ücretli Sendikal İzin ve Sendika Temsilci Sayısı</t>
  </si>
  <si>
    <t>İş Arama İzni</t>
  </si>
  <si>
    <t>Ücretli Yıllık İzin</t>
  </si>
  <si>
    <t>Kazançlar</t>
  </si>
  <si>
    <t>Kesintiler</t>
  </si>
  <si>
    <t>Cenaze İzni</t>
  </si>
  <si>
    <t>Evlilik İzni</t>
  </si>
  <si>
    <t>Mazeret İzni</t>
  </si>
  <si>
    <t>Yol İzni</t>
  </si>
  <si>
    <t>a) İşçinin ikamet ettiği konutun doğal afet nedeniyle hasara uğraması hâlinde 10 iş günü ücretli sosyal izin verilir.</t>
  </si>
  <si>
    <t>a) İşçinin evlenmesi hâlinde 7 iş günü ücretli sosyal izin verilir.
b) İşçinin çocuğunun evlenmesi hâlinde 0 iş günü ücretli sosyal izin verilir.
c) İşçinin evliliğinde, evlilik izninin hangi şekilde kullanılacağı işçinin talebi doğrultusunda değerlendirilir.</t>
  </si>
  <si>
    <t>Askerlik Yardımı</t>
  </si>
  <si>
    <t>a) İşçinin eşinin veya çocuğunun vefatı hâlinde 5 iş günü ücretli sosyal izin verilir.
b) İşçinin annesinin, babasının veya kardeşinin vefatı hâlinde 5 iş günü ücretli sosyal izin verilir.
c) İşçinin eşinin annesinin, babasının veya kardeşinin vefatı hâlinde 5 iş günü ücretli sosyal izin verilir.
d) İşçinin amcasının, halasının, dayısının, teyzesinin, dedesinin veya ninesinin vefatı hâlinde 0 iş günü ücretli sosyal izin verilir.
e) Cenazenin il dışında olması veya il dışına götürülmesi hâlinde işçinin annesinin, babasının, kardeşinin, eşinin veya çocuğunun cenazesi için ilave 5 iş günü amcasının, halasının, dayısının, teyzesinin, dedesinin veya ninesinin cenazesi için ilave 0 iş günü ücretli sosyal izin verilir.
f) İşçilerden birinin vefatı hâlinde cenaze işlemleri veya katılımı için ihtiyaç kadar işçiye ücretli sosyal izin verilir.
g) Vefat eden kişi birden fazla personelin yakını ise cenaze izni her personele ayrı ayrı verilir.</t>
  </si>
  <si>
    <t>Fazla Çalışma (Gündüz / Gece)</t>
  </si>
  <si>
    <t>Yıllık Toplam</t>
  </si>
  <si>
    <t>Yıllık Ortalama</t>
  </si>
  <si>
    <t xml:space="preserve">   Kıdem Yardımı</t>
  </si>
  <si>
    <t xml:space="preserve">   Fazla Çalışma
   (Gündüz / Gece)</t>
  </si>
  <si>
    <t xml:space="preserve">   Yemek Yardımı</t>
  </si>
  <si>
    <t xml:space="preserve">   Nakdi Yardımlar
   Sürekliliği Olmayan Yardımlar</t>
  </si>
  <si>
    <t xml:space="preserve">   Kesintiler / Özel
   BES Kesintisi</t>
  </si>
  <si>
    <t>Cenaze Yardımı (Anne-Baba)</t>
  </si>
  <si>
    <t>Cenaze Yardımı (Eş-Çocuk)</t>
  </si>
  <si>
    <t>Cenaze Yardımı (İşçi-İş Kazası Sonucu)</t>
  </si>
  <si>
    <t>Cenaze Yardımı (İşçi-Tabii Sebepler Sonucu)</t>
  </si>
  <si>
    <t>Eğitim Yardımı (İşçi-Lise)</t>
  </si>
  <si>
    <t>Eğitim Yardımı (İşçi-Yükseköğretim)</t>
  </si>
  <si>
    <t>Eğitim Yardımı (Çocuk-İlköğretim)</t>
  </si>
  <si>
    <t>Eğitim Yardımı (Çocuk-Ortaöğretim)</t>
  </si>
  <si>
    <t>Eğitim Yardımı (Çocuk-Lise)</t>
  </si>
  <si>
    <t>Eğitim Yardımı (Çocuk-Yükseköğretim)</t>
  </si>
  <si>
    <t xml:space="preserve">   Toplam Kazanç
   Net</t>
  </si>
  <si>
    <t>İşveren Maliyeti</t>
  </si>
  <si>
    <t xml:space="preserve">   Resmi Tatillerde Çalışma
   (Saat Hesabı)</t>
  </si>
  <si>
    <r>
      <t xml:space="preserve">   Sonraki Ayın 1'inde
   </t>
    </r>
    <r>
      <rPr>
        <b/>
        <sz val="16"/>
        <rFont val="Calibri"/>
        <family val="2"/>
        <charset val="162"/>
        <scheme val="minor"/>
      </rPr>
      <t>Net</t>
    </r>
  </si>
  <si>
    <t>a) 3 yaşını doldurmamış çocuğu evlat edinen eşlerden birine veya evlat edinene çocuğun aileye fiilen teslim edildiği tarihten itibaren 8 hafta analık hâli izni kullandırılır.
(4857 sayılı İş Kanunu / Madde 74)</t>
  </si>
  <si>
    <t>1S-Kaptan-Lise</t>
  </si>
  <si>
    <t>1S-Baş Makinist-Lise</t>
  </si>
  <si>
    <t>1S-Usta Gemici-Lise</t>
  </si>
  <si>
    <t>1S-Yağcı-Lise</t>
  </si>
  <si>
    <t>2S-Kaptan-Lise</t>
  </si>
  <si>
    <t>2S-Baş Makinist-Lise</t>
  </si>
  <si>
    <t>2S-Usta Gemici-Lise</t>
  </si>
  <si>
    <t>2S-Gemici-Lise</t>
  </si>
  <si>
    <t>2S-Yağcı-Lise</t>
  </si>
  <si>
    <r>
      <t xml:space="preserve">   Sonraki Ayın 15'inde
   Fazla Çalışma (Gündüz / Gece)
   Resmi Tatillerde Çalışma
   Yemek Yardımı
   </t>
    </r>
    <r>
      <rPr>
        <b/>
        <sz val="16"/>
        <rFont val="Calibri"/>
        <family val="2"/>
        <charset val="162"/>
        <scheme val="minor"/>
      </rPr>
      <t>Net</t>
    </r>
  </si>
  <si>
    <t>Miktar</t>
  </si>
  <si>
    <t>a) Hizmeti 6 ay olanlar için 15 iş günü ücretli yıllık izin verilir.
Hizmeti 1-5 yıl olanlar için 30 iş günü ücretli yıllık izin verilir.
Hizmeti 5-10 yıl olanlar için 30 iş günü ücretli yıllık izin verilir.
Hizmeti 10-15 yıl olanlar için 30 iş günü ücretli yıllık izin verilir.
Hizmeti 15 yıldan fazla olanlar için 30 iş günü ücretli yıllık izin verilir.
b) Aynı işveren emrinde veya aynı gemide bir takvim yılı içinde bir veya birkaç hizmet aktine dayanarak en az altı ay çalışmış olan gemiadamı, yıllık ücretli izine hak kazanır.
İzin süresi, altı aydan bir yıla kadar hizmeti olan gemiadamları için 15 günden ve bir yıl ve daha fazla hizmeti olanlar için yılda bir aydan az olamaz.
İzin işverenin uygun göreceği bir zamanda kullanılır. Bu haktan feragat edilemez.
Bir aylık izin, tarafların rızasiyle aynı yıl içinde kullanılmak suretiyle ikiye bölünebilir.
Gemiadamı, yıllık ücretli iznini yabancı bir memleket limanında veya hizmet aktinin yapılmış bulunduğu mahalden gayri bir yerde kullanmaya zorlanamaz.
Gemiadamı, dilerse, işveren veya işveren vekilinden ücretli izne ilişkin olarak 7 güne kadar ücretsiz yol izni de istiyebilir.
Gemiadamının hakettiği yıllık ücretli izni kullanmadan hizmet akti 14 üncü maddenin II, III ve IV üncü bentlerine göre bozulursa, işveren veya işveren vekili izin süresine ait ücreti, gemiadamına ödemek zorundadır.
(854 sayılı Deniz İş Kanunu / Madde 40)</t>
  </si>
  <si>
    <t>a) Gemiadamı, dilerse, işveren veya işveren vekilinden ücretli izne ilişkin olarak 7 güne kadar ücretsiz yol izni de isteyebilir.
(854 sayılı Deniz İş Kanunu / Madde 40)</t>
  </si>
  <si>
    <t>1S-Kaptan-Üniversite</t>
  </si>
  <si>
    <t>1S-Kaptan-MYO</t>
  </si>
  <si>
    <t>1S-Kaptan-Ortaokul</t>
  </si>
  <si>
    <t>1S-Kaptan-İlkokul</t>
  </si>
  <si>
    <t>1S-Baş Makinist-Üniversite</t>
  </si>
  <si>
    <t>1S-Baş Makinist-MYO</t>
  </si>
  <si>
    <t>1S-Baş Makinist-Ortaokul</t>
  </si>
  <si>
    <t>1S-Baş Makinist-İlkokul</t>
  </si>
  <si>
    <t>1S-İkinci Kaptan-Üniversite</t>
  </si>
  <si>
    <t>1S-İkinci Kaptan-MYO</t>
  </si>
  <si>
    <t>1S-İkinci Kaptan-Lise</t>
  </si>
  <si>
    <t>1S-İkinci Kaptan-Ortaokul</t>
  </si>
  <si>
    <t>1S-İkinci Kaptan-İlkokul</t>
  </si>
  <si>
    <t>1S-Usta Gemici-Üniversite</t>
  </si>
  <si>
    <t>1S-Usta Gemici-MYO</t>
  </si>
  <si>
    <t>1S-Usta Gemici-Ortaokul</t>
  </si>
  <si>
    <t>1S-Usta Gemici-İlkokul</t>
  </si>
  <si>
    <t>1S-Yağcı-Üniversite</t>
  </si>
  <si>
    <t>1S-Yağcı-MYO</t>
  </si>
  <si>
    <t>1S-Yağcı-Ortaokul</t>
  </si>
  <si>
    <t>1S-Yağcı-İlkokul</t>
  </si>
  <si>
    <t>2S-Kaptan-Üniversite</t>
  </si>
  <si>
    <t>2S-Kaptan-MYO</t>
  </si>
  <si>
    <t>2S-Kaptan-Ortaokul</t>
  </si>
  <si>
    <t>2S-Kaptan-İlkokul</t>
  </si>
  <si>
    <t>2S-Baş Makinist-Üniversite</t>
  </si>
  <si>
    <t>2S-Baş Makinist-MYO</t>
  </si>
  <si>
    <t>2S-Baş Makinist-Ortaokul</t>
  </si>
  <si>
    <t>2S-Baş Makinist-İlkokul</t>
  </si>
  <si>
    <t>2S-İkinci Kaptan-Üniversite</t>
  </si>
  <si>
    <t>2S-İkinci Kaptan-MYO</t>
  </si>
  <si>
    <t>2S-İkinci Kaptan-Lise</t>
  </si>
  <si>
    <t>2S-İkinci Kaptan-Ortaokul</t>
  </si>
  <si>
    <t>2S-İkinci Kaptan-İlkokul</t>
  </si>
  <si>
    <t>2S-Usta Gemici-Üniversite</t>
  </si>
  <si>
    <t>2S-Usta Gemici-MYO</t>
  </si>
  <si>
    <t>2S-Usta Gemici-Ortaokul</t>
  </si>
  <si>
    <t>2S-Usta Gemici-İlkokul</t>
  </si>
  <si>
    <t>2S-Yağcı-Üniversite</t>
  </si>
  <si>
    <t>2S-Yağcı-MYO</t>
  </si>
  <si>
    <t>2S-Yağcı-Ortaokul</t>
  </si>
  <si>
    <t>2S-Yağcı-İlkokul</t>
  </si>
  <si>
    <t>2S-Gemici-Üniversite</t>
  </si>
  <si>
    <t>2S-Gemici-MYO</t>
  </si>
  <si>
    <t>2S-Gemici-Ortaokul</t>
  </si>
  <si>
    <t>2S-Gemici-İlkokul</t>
  </si>
  <si>
    <t>2S-Gemi Salon Sorumlusu-Üniversite</t>
  </si>
  <si>
    <t>2S-Gemi Salon Sorumlusu-MYO</t>
  </si>
  <si>
    <t>2S-Gemi Salon Sorumlusu-Lise</t>
  </si>
  <si>
    <t>2S-Gemi Salon Sorumlusu-Ortaokul</t>
  </si>
  <si>
    <t>2S-Gemi Salon Sorumlusu-İlkokul</t>
  </si>
  <si>
    <t xml:space="preserve">   İş Güçlüğü Primi
   Eskihisar-Topçular Hattı
   (Her Vardiya)</t>
  </si>
  <si>
    <t>Çikolata Yardımı</t>
  </si>
  <si>
    <t>Doğum Yardımı (İşveren)</t>
  </si>
  <si>
    <t>İdari Sorumluluk Primi</t>
  </si>
  <si>
    <t>İş Güçlüğü Primi</t>
  </si>
  <si>
    <t>Tamamlayıcı Sağlık Sigortası Teminatı</t>
  </si>
  <si>
    <t>a) İşçinin eşinin doğum yapması hâlinde 5 iş günü ücretli sosyal izin verilir.</t>
  </si>
  <si>
    <t>a) Sosyal izinler dışında meşru mazerete (resmi işlemler, sınav, taşınma, ana-baba-eş-çocuk ve kardeşlerin rahatsızlıkları ve ameliyatları halinde refakat durumu, çocuğunun evlenmesi (şehiriçi 1 gün, şehirdışı 2 gün), çocuğunun sünneti) dayanmak ve belgelendirmek şartıyla bu sözleşme kapsamında bulunanlara 3 gün ücretli izin verilir.
b) Zorunlu ve geçerli mazeret hallerinde işverenin takdirine bağlı olarak yılda 180 güne kadar ücretsiz mazeret izni verilebilir.
c) Ücretli ve ücretsiz mazeret izinlerinin yıllık ücretli izinle birleştirilmesi ve bir seferde kullanılacak mazeret izninin süresinin tayini işverenin takdirine bağlıdır.
(16. Toplu İş Sözleşmesi / Madde 36)</t>
  </si>
  <si>
    <t>a) İşyerinde işçi sayısı 50’ye kadar ise yıllık en fazla 20 iş günü ücretli izin verilir.
İşyerinde işçi sayısı 51 ile 100 arasında ise yıllık en fazla 30 iş günü ücretli izin verilir.
İşyerinde işçi sayısı 101 ile 200 arasında ise yıllık en fazla 40 iş günü ücretli izin verilir.
İşyerinde işçi sayısı 201 ile 500 arasında ise yıllık en fazla 60 iş günü ücretli izin verilir.
İşyerinde işçi sayısı 501 ile 1000 arasında ise yıllık en fazla 80 iş günü ücretli izin verilir.
İşyerinde işçi sayısı 1000 işçiden fazla ise yıllık en fazla işçi sayısının % 10'u kadar iş günü ücretli sendikal izin verilir.
(16. Dönem Toplu İş Sözleşmesi / Madde 21)
b) Sendikal faaliyetler için sendikanın yazılı talebi üzerine ve işverenin hizmetlerini aksatmamak suretiyle, işçilere ayrı ayrı olmadan çalışan kişi sayısı karşılığına gelen gün kadar yıllık ücretli sendikal izin verilir.
c) Temsilcilik görevlerini yerine getirmeleri için baştemsilciye haftada 1 gün, diğer temsilcilere ayda 1’er gün ücretli sendikal izin verilir.
d) Toplu iş sözleşmesi yapmak üzere yetkisi kesinleşen sendika; 
işyerinde işçi sayısı 50’ye kadar ise 1,
51 ile 100 arasında ise en çok 2,
101 ile 500 arasında ise en çok 3,
501 ile 1000 arasında ise en çok 4,
1001 ile 2000 arasında ise en çok 6,
2000’den fazla ise en çok 8 işyeri sendika temsilcisini işyerinde çalışan üyeleri arasından atayarak 15 gün içinde kimliklerini işverene bildirir. Bunlardan biri baş temsilci olarak görevlendirilebilir. Temsilcilerin görevi, sendikanın yetkisi süresince devam eder.
(6356 sayılı Sendikalar ve Toplu İş Sözleşmesi Kanunu / Madde 27)</t>
  </si>
  <si>
    <r>
      <t xml:space="preserve">a) Kadın işçilerin </t>
    </r>
    <r>
      <rPr>
        <b/>
        <sz val="16"/>
        <color theme="0" tint="-0.14999847407452621"/>
        <rFont val="Calibri"/>
        <family val="2"/>
        <charset val="162"/>
        <scheme val="minor"/>
      </rPr>
      <t>doğumdan önce 8 ve doğumdan sonra 8 hafta</t>
    </r>
    <r>
      <rPr>
        <sz val="16"/>
        <color theme="0" tint="-0.14999847407452621"/>
        <rFont val="Calibri"/>
        <family val="2"/>
        <charset val="162"/>
        <scheme val="minor"/>
      </rPr>
      <t xml:space="preserve"> olmak üzere toplam 16 haftalık süre için çalıştırılmamaları esastır.
(4857 sayılı İş Kanunu / Madde 74)</t>
    </r>
  </si>
  <si>
    <r>
      <t xml:space="preserve">a) İşçilerin en az %70 oranında engelli veya süreğen hastalığı olan çocuğunun tedavisinde, hastalık raporuna dayalı olarak ve çalışan ebeveynden sadece biri tarafından kullanılması kaydıyla, </t>
    </r>
    <r>
      <rPr>
        <b/>
        <sz val="16"/>
        <color theme="0" tint="-0.14999847407452621"/>
        <rFont val="Calibri"/>
        <family val="2"/>
        <charset val="162"/>
        <scheme val="minor"/>
      </rPr>
      <t>bir yıl içinde toptan veya bölümler hâlinde 10 güne kadar</t>
    </r>
    <r>
      <rPr>
        <sz val="16"/>
        <color theme="0" tint="-0.14999847407452621"/>
        <rFont val="Calibri"/>
        <family val="2"/>
        <charset val="162"/>
        <scheme val="minor"/>
      </rPr>
      <t xml:space="preserve"> ücretli izin verilir.
(4857 sayılı İş Kanunu / Ek Madde 2)</t>
    </r>
  </si>
  <si>
    <r>
      <t xml:space="preserve">a) İşçiye; evlat edinmesi hâlinde </t>
    </r>
    <r>
      <rPr>
        <b/>
        <sz val="16"/>
        <color theme="0" tint="-0.14999847407452621"/>
        <rFont val="Calibri"/>
        <family val="2"/>
        <charset val="162"/>
        <scheme val="minor"/>
      </rPr>
      <t>3 gün</t>
    </r>
    <r>
      <rPr>
        <sz val="16"/>
        <color theme="0" tint="-0.14999847407452621"/>
        <rFont val="Calibri"/>
        <family val="2"/>
        <charset val="162"/>
        <scheme val="minor"/>
      </rPr>
      <t xml:space="preserve"> ücretli izin verilir.
(4857 sayılı İş Kanunu / Ek Madde 2)</t>
    </r>
  </si>
  <si>
    <r>
      <t xml:space="preserve">a) Bildirim süreleri içinde işveren, işçiye yeni bir iş bulması için gerekli olan iş arama iznini iş saatleri içinde ve ücret kesintisi yapmadan vermeye mecburdur. İş arama izninin süresi </t>
    </r>
    <r>
      <rPr>
        <b/>
        <sz val="16"/>
        <color theme="0" tint="-0.14999847407452621"/>
        <rFont val="Calibri"/>
        <family val="2"/>
        <charset val="162"/>
        <scheme val="minor"/>
      </rPr>
      <t>günde 2 saatten az olamaz</t>
    </r>
    <r>
      <rPr>
        <sz val="16"/>
        <color theme="0" tint="-0.14999847407452621"/>
        <rFont val="Calibri"/>
        <family val="2"/>
        <charset val="162"/>
        <scheme val="minor"/>
      </rPr>
      <t xml:space="preserve"> ve işçi isterse iş arama izin saatlerini birleştirerek toplu kullanabilir.
(4857 sayılı İş Kanunu / Madde 27)</t>
    </r>
  </si>
  <si>
    <r>
      <t xml:space="preserve">a) Kadın işçilere bir yaşından küçük çocuklarını emzirmeleri için </t>
    </r>
    <r>
      <rPr>
        <b/>
        <sz val="16"/>
        <color theme="0" tint="-0.14999847407452621"/>
        <rFont val="Calibri"/>
        <family val="2"/>
        <charset val="162"/>
        <scheme val="minor"/>
      </rPr>
      <t>günde toplam 1,5 saat</t>
    </r>
    <r>
      <rPr>
        <sz val="16"/>
        <color theme="0" tint="-0.14999847407452621"/>
        <rFont val="Calibri"/>
        <family val="2"/>
        <charset val="162"/>
        <scheme val="minor"/>
      </rPr>
      <t xml:space="preserve"> süt izni verilir.
(4857 sayılı İş Kanunu / Madde 74)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</si>
</sst>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dd/mm/yyyy;@"/>
    <numFmt numFmtId="165" formatCode="0\ &quot;Gün&quot;"/>
    <numFmt numFmtId="166" formatCode="#,##0.00\ &quot;₺&quot;"/>
    <numFmt numFmtId="167" formatCode="0.000000"/>
    <numFmt numFmtId="168" formatCode="%\ 0"/>
    <numFmt numFmtId="169" formatCode="%\ 0.00"/>
    <numFmt numFmtId="170" formatCode="General\ &quot;₺&quot;"/>
    <numFmt numFmtId="171" formatCode="0.0"/>
  </numFmts>
  <fonts count="14" x14ac:knownFonts="1">
    <font>
      <sz val="11"/>
      <color rgb="FF000000"/>
      <name val="Calibri"/>
      <family val="2"/>
      <charset val="1"/>
    </font>
    <font>
      <sz val="11"/>
      <color rgb="FF000000"/>
      <name val="Calibri"/>
      <family val="2"/>
      <charset val="162"/>
    </font>
    <font>
      <sz val="11"/>
      <color rgb="FF000000"/>
      <name val="Calibri"/>
      <family val="2"/>
      <charset val="1"/>
    </font>
    <font>
      <sz val="10"/>
      <name val="Arial Tur"/>
      <charset val="162"/>
    </font>
    <font>
      <sz val="8"/>
      <name val="Calibri"/>
      <family val="2"/>
      <charset val="1"/>
    </font>
    <font>
      <sz val="16"/>
      <name val="Calibri"/>
      <family val="2"/>
      <charset val="162"/>
      <scheme val="minor"/>
    </font>
    <font>
      <b/>
      <sz val="16"/>
      <name val="Calibri"/>
      <family val="2"/>
      <charset val="162"/>
      <scheme val="minor"/>
    </font>
    <font>
      <sz val="16"/>
      <color rgb="FFFF0000"/>
      <name val="Calibri"/>
      <family val="2"/>
      <charset val="162"/>
      <scheme val="minor"/>
    </font>
    <font>
      <b/>
      <sz val="16"/>
      <color rgb="FFFF0000"/>
      <name val="Calibri"/>
      <family val="2"/>
      <charset val="162"/>
      <scheme val="minor"/>
    </font>
    <font>
      <sz val="20"/>
      <name val="Calibri"/>
      <family val="2"/>
      <charset val="162"/>
      <scheme val="minor"/>
    </font>
    <font>
      <sz val="20"/>
      <color rgb="FFFF0000"/>
      <name val="Calibri"/>
      <family val="2"/>
      <charset val="162"/>
      <scheme val="minor"/>
    </font>
    <font>
      <sz val="16"/>
      <color theme="0" tint="-0.14999847407452621"/>
      <name val="Calibri"/>
      <family val="2"/>
      <charset val="162"/>
      <scheme val="minor"/>
    </font>
    <font>
      <b/>
      <sz val="16"/>
      <color theme="0" tint="-0.14999847407452621"/>
      <name val="Calibri"/>
      <family val="2"/>
      <charset val="162"/>
      <scheme val="minor"/>
    </font>
    <font>
      <sz val="16"/>
      <color theme="0"/>
      <name val="Calibri"/>
      <family val="2"/>
      <charset val="162"/>
      <scheme val="minor"/>
    </font>
  </fonts>
  <fills count="6">
    <fill>
      <patternFill patternType="none"/>
    </fill>
    <fill>
      <patternFill patternType="gray125"/>
    </fill>
    <fill>
      <patternFill patternType="solid">
        <fgColor theme="0" tint="-0.14999847407452621"/>
        <bgColor indexed="64"/>
      </patternFill>
    </fill>
    <fill>
      <patternFill patternType="solid">
        <fgColor rgb="FFC8E1B4"/>
        <bgColor indexed="64"/>
      </patternFill>
    </fill>
    <fill>
      <patternFill patternType="solid">
        <fgColor theme="8" tint="0.79998168889431442"/>
        <bgColor indexed="64"/>
      </patternFill>
    </fill>
    <fill>
      <patternFill patternType="solid">
        <fgColor rgb="FFC8E1B4"/>
        <bgColor rgb="FFC5E0B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6">
    <xf numFmtId="0" fontId="0" fillId="0" borderId="0"/>
    <xf numFmtId="0" fontId="1" fillId="0" borderId="0"/>
    <xf numFmtId="0" fontId="3" fillId="0" borderId="0"/>
    <xf numFmtId="0" fontId="2" fillId="0" borderId="0"/>
    <xf numFmtId="9" fontId="3" fillId="0" borderId="0" applyFont="0" applyFill="0" applyBorder="0" applyAlignment="0" applyProtection="0"/>
    <xf numFmtId="0" fontId="3" fillId="0" borderId="0" applyFont="0" applyFill="0" applyBorder="0" applyAlignment="0" applyProtection="0"/>
  </cellStyleXfs>
  <cellXfs count="79">
    <xf numFmtId="0" fontId="0" fillId="0" borderId="0" xfId="0"/>
    <xf numFmtId="0" fontId="5" fillId="0" borderId="0" xfId="2" applyFont="1" applyFill="1" applyAlignment="1" applyProtection="1">
      <alignment horizontal="center" vertical="center"/>
      <protection hidden="1"/>
    </xf>
    <xf numFmtId="0" fontId="5" fillId="0" borderId="0" xfId="2" applyFont="1" applyAlignment="1" applyProtection="1">
      <alignment horizontal="center" vertical="center"/>
      <protection hidden="1"/>
    </xf>
    <xf numFmtId="0" fontId="5" fillId="2" borderId="1" xfId="2" applyFont="1" applyFill="1" applyBorder="1" applyAlignment="1" applyProtection="1">
      <alignment horizontal="center" vertical="center"/>
      <protection hidden="1"/>
    </xf>
    <xf numFmtId="4" fontId="5" fillId="2" borderId="1" xfId="2" applyNumberFormat="1" applyFont="1" applyFill="1" applyBorder="1" applyAlignment="1" applyProtection="1">
      <alignment horizontal="center" vertical="center"/>
      <protection hidden="1"/>
    </xf>
    <xf numFmtId="168" fontId="5" fillId="2" borderId="1" xfId="2" applyNumberFormat="1" applyFont="1" applyFill="1" applyBorder="1" applyAlignment="1" applyProtection="1">
      <alignment horizontal="center" vertical="center"/>
      <protection hidden="1"/>
    </xf>
    <xf numFmtId="2" fontId="6" fillId="2" borderId="10" xfId="0" applyNumberFormat="1" applyFont="1" applyFill="1" applyBorder="1" applyAlignment="1" applyProtection="1">
      <alignment horizontal="center" vertical="center"/>
      <protection hidden="1"/>
    </xf>
    <xf numFmtId="166" fontId="6" fillId="4" borderId="1" xfId="2" applyNumberFormat="1" applyFont="1" applyFill="1" applyBorder="1" applyAlignment="1" applyProtection="1">
      <alignment horizontal="center" vertical="center"/>
      <protection hidden="1"/>
    </xf>
    <xf numFmtId="166" fontId="8" fillId="4" borderId="1" xfId="2" applyNumberFormat="1" applyFont="1" applyFill="1" applyBorder="1" applyAlignment="1" applyProtection="1">
      <alignment horizontal="center" vertical="center"/>
      <protection hidden="1"/>
    </xf>
    <xf numFmtId="171" fontId="5" fillId="2" borderId="1" xfId="2" applyNumberFormat="1" applyFont="1" applyFill="1" applyBorder="1" applyAlignment="1" applyProtection="1">
      <alignment horizontal="center" vertical="center"/>
      <protection hidden="1"/>
    </xf>
    <xf numFmtId="1" fontId="5" fillId="2" borderId="1" xfId="2" applyNumberFormat="1" applyFont="1" applyFill="1" applyBorder="1" applyAlignment="1" applyProtection="1">
      <alignment horizontal="center" vertical="center"/>
      <protection hidden="1"/>
    </xf>
    <xf numFmtId="166" fontId="6" fillId="2" borderId="1" xfId="2" applyNumberFormat="1" applyFont="1" applyFill="1" applyBorder="1" applyAlignment="1" applyProtection="1">
      <alignment horizontal="center" vertical="center"/>
      <protection hidden="1"/>
    </xf>
    <xf numFmtId="166" fontId="8" fillId="2" borderId="1" xfId="2" applyNumberFormat="1" applyFont="1" applyFill="1" applyBorder="1" applyAlignment="1" applyProtection="1">
      <alignment horizontal="center" vertical="center"/>
      <protection hidden="1"/>
    </xf>
    <xf numFmtId="0" fontId="5" fillId="0" borderId="0" xfId="2" applyFont="1" applyAlignment="1" applyProtection="1">
      <alignment horizontal="right" vertical="center" indent="1"/>
      <protection hidden="1"/>
    </xf>
    <xf numFmtId="1" fontId="5" fillId="3" borderId="1" xfId="2" applyNumberFormat="1" applyFont="1" applyFill="1" applyBorder="1" applyAlignment="1" applyProtection="1">
      <alignment horizontal="center" vertical="center"/>
      <protection locked="0" hidden="1"/>
    </xf>
    <xf numFmtId="171" fontId="5" fillId="3" borderId="1" xfId="3" applyNumberFormat="1" applyFont="1" applyFill="1" applyBorder="1" applyAlignment="1" applyProtection="1">
      <alignment horizontal="center" vertical="center"/>
      <protection locked="0" hidden="1"/>
    </xf>
    <xf numFmtId="2" fontId="5" fillId="5" borderId="1" xfId="2" applyNumberFormat="1" applyFont="1" applyFill="1" applyBorder="1" applyAlignment="1" applyProtection="1">
      <alignment horizontal="center" vertical="center" wrapText="1"/>
      <protection locked="0" hidden="1"/>
    </xf>
    <xf numFmtId="168" fontId="5" fillId="3" borderId="1" xfId="2" applyNumberFormat="1" applyFont="1" applyFill="1" applyBorder="1" applyAlignment="1" applyProtection="1">
      <alignment horizontal="center" vertical="center"/>
      <protection locked="0" hidden="1"/>
    </xf>
    <xf numFmtId="0" fontId="11" fillId="2" borderId="0" xfId="2" applyFont="1" applyFill="1" applyBorder="1" applyAlignment="1" applyProtection="1">
      <alignment horizontal="center" vertical="center" wrapText="1"/>
      <protection hidden="1"/>
    </xf>
    <xf numFmtId="166" fontId="11" fillId="2" borderId="0" xfId="2" applyNumberFormat="1" applyFont="1" applyFill="1" applyBorder="1" applyAlignment="1" applyProtection="1">
      <alignment horizontal="center" vertical="center" wrapText="1"/>
      <protection hidden="1"/>
    </xf>
    <xf numFmtId="166" fontId="11" fillId="2" borderId="0" xfId="2" applyNumberFormat="1" applyFont="1" applyFill="1" applyBorder="1" applyAlignment="1" applyProtection="1">
      <alignment horizontal="center" vertical="center"/>
      <protection hidden="1"/>
    </xf>
    <xf numFmtId="2" fontId="11" fillId="2" borderId="0" xfId="2" applyNumberFormat="1" applyFont="1" applyFill="1" applyBorder="1" applyAlignment="1" applyProtection="1">
      <alignment horizontal="center" vertical="center" wrapText="1"/>
      <protection hidden="1"/>
    </xf>
    <xf numFmtId="0" fontId="5" fillId="0" borderId="0" xfId="2" applyFont="1" applyFill="1" applyBorder="1" applyAlignment="1" applyProtection="1">
      <alignment horizontal="center" vertical="center"/>
      <protection hidden="1"/>
    </xf>
    <xf numFmtId="0" fontId="11" fillId="2" borderId="0" xfId="0" applyFont="1" applyFill="1" applyBorder="1" applyAlignment="1" applyProtection="1">
      <alignment horizontal="center" vertical="center" wrapText="1"/>
      <protection hidden="1"/>
    </xf>
    <xf numFmtId="0" fontId="11" fillId="2" borderId="0" xfId="0" applyFont="1" applyFill="1" applyBorder="1" applyAlignment="1" applyProtection="1">
      <alignment horizontal="right" vertical="center" wrapText="1" indent="1"/>
      <protection hidden="1"/>
    </xf>
    <xf numFmtId="49" fontId="11" fillId="2" borderId="0" xfId="0" applyNumberFormat="1" applyFont="1" applyFill="1" applyBorder="1" applyAlignment="1" applyProtection="1">
      <alignment horizontal="center" vertical="center" wrapText="1"/>
      <protection hidden="1"/>
    </xf>
    <xf numFmtId="49" fontId="11" fillId="2" borderId="0" xfId="2" applyNumberFormat="1" applyFont="1" applyFill="1" applyBorder="1" applyAlignment="1" applyProtection="1">
      <alignment horizontal="center" vertical="center" wrapText="1"/>
      <protection hidden="1"/>
    </xf>
    <xf numFmtId="2" fontId="11" fillId="2" borderId="0" xfId="2" applyNumberFormat="1" applyFont="1" applyFill="1" applyBorder="1" applyAlignment="1" applyProtection="1">
      <alignment horizontal="right" vertical="center" wrapText="1" indent="1"/>
      <protection hidden="1"/>
    </xf>
    <xf numFmtId="0" fontId="11" fillId="2" borderId="0" xfId="2" applyFont="1" applyFill="1" applyBorder="1" applyAlignment="1" applyProtection="1">
      <alignment horizontal="center" vertical="center"/>
      <protection hidden="1"/>
    </xf>
    <xf numFmtId="0" fontId="5" fillId="2" borderId="6" xfId="0" applyFont="1" applyFill="1" applyBorder="1" applyAlignment="1" applyProtection="1">
      <alignment horizontal="center" vertical="center" wrapText="1"/>
      <protection hidden="1"/>
    </xf>
    <xf numFmtId="0" fontId="5" fillId="2" borderId="0"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2" fontId="13" fillId="0" borderId="0" xfId="3" applyNumberFormat="1" applyFont="1" applyFill="1" applyBorder="1" applyAlignment="1" applyProtection="1">
      <alignment horizontal="center" vertical="center" wrapText="1"/>
      <protection hidden="1"/>
    </xf>
    <xf numFmtId="166" fontId="13" fillId="0" borderId="0" xfId="2" applyNumberFormat="1" applyFont="1" applyFill="1" applyBorder="1" applyAlignment="1" applyProtection="1">
      <alignment horizontal="center" vertical="center" wrapText="1"/>
      <protection hidden="1"/>
    </xf>
    <xf numFmtId="164" fontId="13" fillId="0" borderId="0" xfId="0" applyNumberFormat="1" applyFont="1" applyFill="1" applyBorder="1" applyAlignment="1" applyProtection="1">
      <alignment horizontal="center" vertical="center"/>
      <protection hidden="1"/>
    </xf>
    <xf numFmtId="165" fontId="13" fillId="0" borderId="0" xfId="0" applyNumberFormat="1" applyFont="1" applyFill="1" applyBorder="1" applyAlignment="1" applyProtection="1">
      <alignment horizontal="center" vertical="center"/>
      <protection hidden="1"/>
    </xf>
    <xf numFmtId="4" fontId="13" fillId="0" borderId="0" xfId="2" applyNumberFormat="1" applyFont="1" applyFill="1" applyBorder="1" applyAlignment="1" applyProtection="1">
      <alignment horizontal="center" vertical="center"/>
      <protection hidden="1"/>
    </xf>
    <xf numFmtId="166" fontId="13" fillId="0" borderId="0" xfId="0" applyNumberFormat="1" applyFont="1" applyFill="1" applyBorder="1" applyAlignment="1" applyProtection="1">
      <alignment horizontal="center" vertical="center"/>
      <protection hidden="1"/>
    </xf>
    <xf numFmtId="166" fontId="13" fillId="0" borderId="0" xfId="2" applyNumberFormat="1" applyFont="1" applyFill="1" applyBorder="1" applyAlignment="1" applyProtection="1">
      <alignment horizontal="center" vertical="center"/>
      <protection hidden="1"/>
    </xf>
    <xf numFmtId="166" fontId="13" fillId="0" borderId="0" xfId="3" applyNumberFormat="1" applyFont="1" applyFill="1" applyBorder="1" applyAlignment="1" applyProtection="1">
      <alignment horizontal="center" vertical="center"/>
      <protection hidden="1"/>
    </xf>
    <xf numFmtId="2" fontId="13" fillId="0" borderId="0" xfId="2" applyNumberFormat="1" applyFont="1" applyFill="1" applyBorder="1" applyAlignment="1" applyProtection="1">
      <alignment horizontal="center" vertical="center"/>
      <protection hidden="1"/>
    </xf>
    <xf numFmtId="169" fontId="13" fillId="0" borderId="0" xfId="4" applyNumberFormat="1" applyFont="1" applyFill="1" applyBorder="1" applyAlignment="1" applyProtection="1">
      <alignment horizontal="center" vertical="center"/>
      <protection hidden="1"/>
    </xf>
    <xf numFmtId="0" fontId="13" fillId="0" borderId="0" xfId="2" applyFont="1" applyFill="1" applyBorder="1" applyAlignment="1" applyProtection="1">
      <alignment horizontal="center" vertical="center"/>
      <protection hidden="1"/>
    </xf>
    <xf numFmtId="0" fontId="13" fillId="0" borderId="0" xfId="2" applyFont="1" applyFill="1" applyBorder="1" applyAlignment="1" applyProtection="1">
      <alignment horizontal="center" vertical="center" wrapText="1"/>
      <protection hidden="1"/>
    </xf>
    <xf numFmtId="167" fontId="13" fillId="0" borderId="0" xfId="2" applyNumberFormat="1" applyFont="1" applyFill="1" applyBorder="1" applyAlignment="1" applyProtection="1">
      <alignment horizontal="center" vertical="center"/>
      <protection hidden="1"/>
    </xf>
    <xf numFmtId="2" fontId="13" fillId="0" borderId="0" xfId="2" applyNumberFormat="1" applyFont="1" applyFill="1" applyBorder="1" applyAlignment="1" applyProtection="1">
      <alignment horizontal="center" vertical="center" wrapText="1"/>
      <protection hidden="1"/>
    </xf>
    <xf numFmtId="0" fontId="13" fillId="0" borderId="0" xfId="3" applyFont="1" applyFill="1" applyBorder="1" applyAlignment="1" applyProtection="1">
      <alignment horizontal="center" vertical="center"/>
      <protection hidden="1"/>
    </xf>
    <xf numFmtId="2" fontId="13" fillId="0" borderId="0" xfId="3" applyNumberFormat="1" applyFont="1" applyFill="1" applyBorder="1" applyAlignment="1" applyProtection="1">
      <alignment horizontal="center" vertical="center"/>
      <protection hidden="1"/>
    </xf>
    <xf numFmtId="166" fontId="13" fillId="0" borderId="0" xfId="4" applyNumberFormat="1" applyFont="1" applyFill="1" applyBorder="1" applyAlignment="1" applyProtection="1">
      <alignment horizontal="center" vertical="center"/>
      <protection hidden="1"/>
    </xf>
    <xf numFmtId="168" fontId="13" fillId="0" borderId="0" xfId="2" applyNumberFormat="1" applyFont="1" applyFill="1" applyBorder="1" applyAlignment="1" applyProtection="1">
      <alignment horizontal="center" vertical="center"/>
      <protection hidden="1"/>
    </xf>
    <xf numFmtId="165" fontId="13" fillId="0" borderId="0" xfId="2" applyNumberFormat="1" applyFont="1" applyFill="1" applyBorder="1" applyAlignment="1" applyProtection="1">
      <alignment horizontal="center" vertical="center"/>
      <protection hidden="1"/>
    </xf>
    <xf numFmtId="164" fontId="13" fillId="0" borderId="0" xfId="2" applyNumberFormat="1" applyFont="1" applyFill="1" applyBorder="1" applyAlignment="1" applyProtection="1">
      <alignment horizontal="center" vertical="center"/>
      <protection hidden="1"/>
    </xf>
    <xf numFmtId="4" fontId="13" fillId="0" borderId="0" xfId="2" applyNumberFormat="1" applyFont="1" applyFill="1" applyBorder="1" applyAlignment="1" applyProtection="1">
      <alignment horizontal="center" vertical="center" wrapText="1"/>
      <protection hidden="1"/>
    </xf>
    <xf numFmtId="49" fontId="13" fillId="0" borderId="0" xfId="3" applyNumberFormat="1" applyFont="1" applyFill="1" applyBorder="1" applyAlignment="1" applyProtection="1">
      <alignment horizontal="center" vertical="center"/>
      <protection hidden="1"/>
    </xf>
    <xf numFmtId="0" fontId="5" fillId="2" borderId="11" xfId="2" applyFont="1" applyFill="1" applyBorder="1" applyAlignment="1" applyProtection="1">
      <alignment horizontal="center" vertical="center"/>
      <protection hidden="1"/>
    </xf>
    <xf numFmtId="0" fontId="5" fillId="2" borderId="12" xfId="2" applyFont="1" applyFill="1" applyBorder="1" applyAlignment="1" applyProtection="1">
      <alignment horizontal="center" vertical="center"/>
      <protection hidden="1"/>
    </xf>
    <xf numFmtId="0" fontId="5" fillId="2" borderId="13" xfId="2" applyFont="1" applyFill="1" applyBorder="1" applyAlignment="1" applyProtection="1">
      <alignment horizontal="center" vertical="center"/>
      <protection hidden="1"/>
    </xf>
    <xf numFmtId="2" fontId="5" fillId="2" borderId="11" xfId="2" applyNumberFormat="1" applyFont="1" applyFill="1" applyBorder="1" applyAlignment="1" applyProtection="1">
      <alignment horizontal="center" textRotation="90" wrapText="1"/>
      <protection hidden="1"/>
    </xf>
    <xf numFmtId="2" fontId="5" fillId="2" borderId="12" xfId="2" applyNumberFormat="1" applyFont="1" applyFill="1" applyBorder="1" applyAlignment="1" applyProtection="1">
      <alignment horizontal="center" textRotation="90" wrapText="1"/>
      <protection hidden="1"/>
    </xf>
    <xf numFmtId="2" fontId="5" fillId="2" borderId="13" xfId="2" applyNumberFormat="1" applyFont="1" applyFill="1" applyBorder="1" applyAlignment="1" applyProtection="1">
      <alignment horizontal="center" textRotation="90" wrapText="1"/>
      <protection hidden="1"/>
    </xf>
    <xf numFmtId="0" fontId="5" fillId="3" borderId="1" xfId="0" applyFont="1" applyFill="1" applyBorder="1" applyAlignment="1" applyProtection="1">
      <alignment horizontal="center" vertical="center" textRotation="90" wrapText="1"/>
      <protection locked="0" hidden="1"/>
    </xf>
    <xf numFmtId="0" fontId="5" fillId="2" borderId="8" xfId="0" applyFont="1" applyFill="1" applyBorder="1" applyAlignment="1" applyProtection="1">
      <alignment horizontal="center" vertical="center" wrapText="1"/>
      <protection hidden="1"/>
    </xf>
    <xf numFmtId="0" fontId="5" fillId="2" borderId="9" xfId="0" applyFont="1" applyFill="1" applyBorder="1" applyAlignment="1" applyProtection="1">
      <alignment horizontal="center" vertical="center" wrapText="1"/>
      <protection hidden="1"/>
    </xf>
    <xf numFmtId="0" fontId="5" fillId="2" borderId="0" xfId="0" applyFont="1" applyFill="1" applyBorder="1" applyAlignment="1" applyProtection="1">
      <alignment horizontal="left" vertical="center" wrapText="1"/>
      <protection hidden="1"/>
    </xf>
    <xf numFmtId="0" fontId="5" fillId="2" borderId="5" xfId="0" applyFont="1" applyFill="1" applyBorder="1" applyAlignment="1" applyProtection="1">
      <alignment horizontal="center" vertical="center" wrapText="1"/>
      <protection hidden="1"/>
    </xf>
    <xf numFmtId="0" fontId="5" fillId="2" borderId="6" xfId="0" applyFont="1" applyFill="1" applyBorder="1" applyAlignment="1" applyProtection="1">
      <alignment horizontal="center" vertical="center" wrapText="1"/>
      <protection hidden="1"/>
    </xf>
    <xf numFmtId="0" fontId="5" fillId="2" borderId="7" xfId="0" applyFont="1" applyFill="1" applyBorder="1" applyAlignment="1" applyProtection="1">
      <alignment horizontal="center" vertical="center" wrapText="1"/>
      <protection hidden="1"/>
    </xf>
    <xf numFmtId="2" fontId="5" fillId="2" borderId="1" xfId="2" applyNumberFormat="1" applyFont="1" applyFill="1" applyBorder="1" applyAlignment="1" applyProtection="1">
      <alignment horizontal="center" textRotation="90" wrapText="1"/>
      <protection hidden="1"/>
    </xf>
    <xf numFmtId="0" fontId="5" fillId="2" borderId="2"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5" fillId="2" borderId="4" xfId="0" applyFont="1" applyFill="1" applyBorder="1" applyAlignment="1" applyProtection="1">
      <alignment horizontal="center" vertical="center" wrapText="1"/>
      <protection hidden="1"/>
    </xf>
    <xf numFmtId="0" fontId="5" fillId="2" borderId="10" xfId="2" applyFont="1" applyFill="1" applyBorder="1" applyAlignment="1" applyProtection="1">
      <alignment horizontal="center" vertical="center"/>
      <protection hidden="1"/>
    </xf>
    <xf numFmtId="0" fontId="5" fillId="3" borderId="1" xfId="2" applyFont="1" applyFill="1" applyBorder="1" applyAlignment="1" applyProtection="1">
      <alignment horizontal="center" vertical="center" textRotation="90" wrapText="1"/>
      <protection locked="0" hidden="1"/>
    </xf>
    <xf numFmtId="2" fontId="7" fillId="2" borderId="1" xfId="2" applyNumberFormat="1" applyFont="1" applyFill="1" applyBorder="1" applyAlignment="1" applyProtection="1">
      <alignment horizontal="center" textRotation="90" wrapText="1"/>
      <protection hidden="1"/>
    </xf>
    <xf numFmtId="2" fontId="6" fillId="2" borderId="1" xfId="2" applyNumberFormat="1" applyFont="1" applyFill="1" applyBorder="1" applyAlignment="1" applyProtection="1">
      <alignment horizontal="right" vertical="center" wrapText="1" indent="1"/>
      <protection hidden="1"/>
    </xf>
    <xf numFmtId="2" fontId="6" fillId="2" borderId="10" xfId="2" applyNumberFormat="1" applyFont="1" applyFill="1" applyBorder="1" applyAlignment="1" applyProtection="1">
      <alignment horizontal="right" vertical="center" wrapText="1" indent="1"/>
      <protection hidden="1"/>
    </xf>
    <xf numFmtId="2" fontId="9" fillId="3" borderId="1" xfId="2" applyNumberFormat="1" applyFont="1" applyFill="1" applyBorder="1" applyAlignment="1" applyProtection="1">
      <alignment horizontal="center" vertical="center" textRotation="90" wrapText="1"/>
      <protection locked="0" hidden="1"/>
    </xf>
    <xf numFmtId="170" fontId="10" fillId="2" borderId="10" xfId="2" applyNumberFormat="1" applyFont="1" applyFill="1" applyBorder="1" applyAlignment="1" applyProtection="1">
      <alignment horizontal="center" vertical="center" textRotation="90" wrapText="1"/>
      <protection hidden="1"/>
    </xf>
    <xf numFmtId="2" fontId="5" fillId="2" borderId="1" xfId="0" applyNumberFormat="1" applyFont="1" applyFill="1" applyBorder="1" applyAlignment="1" applyProtection="1">
      <alignment horizontal="center" textRotation="90" wrapText="1"/>
      <protection hidden="1"/>
    </xf>
  </cellXfs>
  <cellStyles count="6">
    <cellStyle name="Açıklama Metni" xfId="1" builtinId="53" customBuiltin="1"/>
    <cellStyle name="Normal" xfId="0" builtinId="0"/>
    <cellStyle name="Normal 2" xfId="2" xr:uid="{00000000-0005-0000-0000-000003000000}"/>
    <cellStyle name="Normal 2 2" xfId="3" xr:uid="{00000000-0005-0000-0000-000004000000}"/>
    <cellStyle name="Virgül 2" xfId="5" xr:uid="{00000000-0005-0000-0000-000005000000}"/>
    <cellStyle name="Yüzde 2" xfId="4" xr:uid="{00000000-0005-0000-0000-000006000000}"/>
  </cellStyles>
  <dxfs count="0"/>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FE699"/>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5E0B4"/>
      <rgbColor rgb="FFFFFF99"/>
      <rgbColor rgb="FF99CCFF"/>
      <rgbColor rgb="FFFF99CC"/>
      <rgbColor rgb="FFCC99FF"/>
      <rgbColor rgb="FFF8CBAD"/>
      <rgbColor rgb="FF3366FF"/>
      <rgbColor rgb="FF33CCCC"/>
      <rgbColor rgb="FF99CC00"/>
      <rgbColor rgb="FFFFCC00"/>
      <rgbColor rgb="FFFF9900"/>
      <rgbColor rgb="FFFF3333"/>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8E1B4"/>
      <color rgb="FFDAEEF3"/>
      <color rgb="FF003300"/>
      <color rgb="FF9933FF"/>
      <color rgb="FFAAD7E1"/>
      <color rgb="FFAAD7DC"/>
      <color rgb="FFAAD7E6"/>
      <color rgb="FFAACDE6"/>
      <color rgb="FFAFCDE6"/>
      <color rgb="FFAFE1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6821142851852943"/>
          <c:y val="1.6407513119655142E-2"/>
          <c:w val="0.22938183964581099"/>
          <c:h val="0.96718497376068968"/>
        </c:manualLayout>
      </c:layout>
      <c:barChart>
        <c:barDir val="bar"/>
        <c:grouping val="clustered"/>
        <c:varyColors val="0"/>
        <c:ser>
          <c:idx val="0"/>
          <c:order val="0"/>
          <c:spPr>
            <a:solidFill>
              <a:schemeClr val="tx1"/>
            </a:solidFill>
            <a:ln>
              <a:noFill/>
            </a:ln>
            <a:effectLst/>
          </c:spPr>
          <c:invertIfNegative val="0"/>
          <c:dPt>
            <c:idx val="11"/>
            <c:invertIfNegative val="0"/>
            <c:bubble3D val="0"/>
            <c:spPr>
              <a:solidFill>
                <a:schemeClr val="tx1"/>
              </a:solidFill>
              <a:ln>
                <a:noFill/>
              </a:ln>
              <a:effectLst/>
            </c:spPr>
            <c:extLst>
              <c:ext xmlns:c16="http://schemas.microsoft.com/office/drawing/2014/chart" uri="{C3380CC4-5D6E-409C-BE32-E72D297353CC}">
                <c16:uniqueId val="{00000027-15C5-4CF9-A126-8061EA1D968F}"/>
              </c:ext>
            </c:extLst>
          </c:dPt>
          <c:dPt>
            <c:idx val="12"/>
            <c:invertIfNegative val="0"/>
            <c:bubble3D val="0"/>
            <c:spPr>
              <a:solidFill>
                <a:srgbClr val="C00000"/>
              </a:solidFill>
              <a:ln>
                <a:noFill/>
              </a:ln>
              <a:effectLst/>
            </c:spPr>
            <c:extLst>
              <c:ext xmlns:c16="http://schemas.microsoft.com/office/drawing/2014/chart" uri="{C3380CC4-5D6E-409C-BE32-E72D297353CC}">
                <c16:uniqueId val="{00000028-15C5-4CF9-A126-8061EA1D968F}"/>
              </c:ext>
            </c:extLst>
          </c:dPt>
          <c:dPt>
            <c:idx val="13"/>
            <c:invertIfNegative val="0"/>
            <c:bubble3D val="0"/>
            <c:spPr>
              <a:solidFill>
                <a:srgbClr val="C00000"/>
              </a:solidFill>
              <a:ln>
                <a:noFill/>
              </a:ln>
              <a:effectLst/>
            </c:spPr>
            <c:extLst>
              <c:ext xmlns:c16="http://schemas.microsoft.com/office/drawing/2014/chart" uri="{C3380CC4-5D6E-409C-BE32-E72D297353CC}">
                <c16:uniqueId val="{00000029-15C5-4CF9-A126-8061EA1D968F}"/>
              </c:ext>
            </c:extLst>
          </c:dPt>
          <c:dPt>
            <c:idx val="14"/>
            <c:invertIfNegative val="0"/>
            <c:bubble3D val="0"/>
            <c:spPr>
              <a:solidFill>
                <a:srgbClr val="C00000"/>
              </a:solidFill>
              <a:ln>
                <a:noFill/>
              </a:ln>
              <a:effectLst/>
            </c:spPr>
            <c:extLst>
              <c:ext xmlns:c16="http://schemas.microsoft.com/office/drawing/2014/chart" uri="{C3380CC4-5D6E-409C-BE32-E72D297353CC}">
                <c16:uniqueId val="{0000002A-15C5-4CF9-A126-8061EA1D968F}"/>
              </c:ext>
            </c:extLst>
          </c:dPt>
          <c:dPt>
            <c:idx val="15"/>
            <c:invertIfNegative val="0"/>
            <c:bubble3D val="0"/>
            <c:spPr>
              <a:solidFill>
                <a:srgbClr val="C00000"/>
              </a:solidFill>
              <a:ln>
                <a:noFill/>
              </a:ln>
              <a:effectLst/>
            </c:spPr>
            <c:extLst>
              <c:ext xmlns:c16="http://schemas.microsoft.com/office/drawing/2014/chart" uri="{C3380CC4-5D6E-409C-BE32-E72D297353CC}">
                <c16:uniqueId val="{0000002B-15C5-4CF9-A126-8061EA1D968F}"/>
              </c:ext>
            </c:extLst>
          </c:dPt>
          <c:dPt>
            <c:idx val="16"/>
            <c:invertIfNegative val="0"/>
            <c:bubble3D val="0"/>
            <c:spPr>
              <a:solidFill>
                <a:srgbClr val="C00000"/>
              </a:solidFill>
              <a:ln>
                <a:noFill/>
              </a:ln>
              <a:effectLst/>
            </c:spPr>
            <c:extLst>
              <c:ext xmlns:c16="http://schemas.microsoft.com/office/drawing/2014/chart" uri="{C3380CC4-5D6E-409C-BE32-E72D297353CC}">
                <c16:uniqueId val="{0000002C-15C5-4CF9-A126-8061EA1D968F}"/>
              </c:ext>
            </c:extLst>
          </c:dPt>
          <c:dPt>
            <c:idx val="17"/>
            <c:invertIfNegative val="0"/>
            <c:bubble3D val="0"/>
            <c:spPr>
              <a:solidFill>
                <a:srgbClr val="C00000"/>
              </a:solidFill>
              <a:ln>
                <a:noFill/>
              </a:ln>
              <a:effectLst/>
            </c:spPr>
            <c:extLst>
              <c:ext xmlns:c16="http://schemas.microsoft.com/office/drawing/2014/chart" uri="{C3380CC4-5D6E-409C-BE32-E72D297353CC}">
                <c16:uniqueId val="{0000002D-15C5-4CF9-A126-8061EA1D968F}"/>
              </c:ext>
            </c:extLst>
          </c:dPt>
          <c:dPt>
            <c:idx val="18"/>
            <c:invertIfNegative val="0"/>
            <c:bubble3D val="0"/>
            <c:spPr>
              <a:solidFill>
                <a:schemeClr val="bg1">
                  <a:lumMod val="50000"/>
                </a:schemeClr>
              </a:solidFill>
              <a:ln>
                <a:noFill/>
              </a:ln>
              <a:effectLst/>
            </c:spPr>
            <c:extLst>
              <c:ext xmlns:c16="http://schemas.microsoft.com/office/drawing/2014/chart" uri="{C3380CC4-5D6E-409C-BE32-E72D297353CC}">
                <c16:uniqueId val="{00000035-F3B8-4BDD-B2F7-EEE8C13D3BDA}"/>
              </c:ext>
            </c:extLst>
          </c:dPt>
          <c:dPt>
            <c:idx val="20"/>
            <c:invertIfNegative val="0"/>
            <c:bubble3D val="0"/>
            <c:spPr>
              <a:solidFill>
                <a:schemeClr val="tx1"/>
              </a:solidFill>
              <a:ln>
                <a:noFill/>
              </a:ln>
              <a:effectLst/>
            </c:spPr>
            <c:extLst>
              <c:ext xmlns:c16="http://schemas.microsoft.com/office/drawing/2014/chart" uri="{C3380CC4-5D6E-409C-BE32-E72D297353CC}">
                <c16:uniqueId val="{0000000F-45CA-4018-8A5C-C7D91A61B798}"/>
              </c:ext>
            </c:extLst>
          </c:dPt>
          <c:dPt>
            <c:idx val="21"/>
            <c:invertIfNegative val="0"/>
            <c:bubble3D val="0"/>
            <c:spPr>
              <a:solidFill>
                <a:schemeClr val="tx1"/>
              </a:solidFill>
              <a:ln>
                <a:noFill/>
              </a:ln>
              <a:effectLst/>
            </c:spPr>
            <c:extLst>
              <c:ext xmlns:c16="http://schemas.microsoft.com/office/drawing/2014/chart" uri="{C3380CC4-5D6E-409C-BE32-E72D297353CC}">
                <c16:uniqueId val="{0000000E-45CA-4018-8A5C-C7D91A61B798}"/>
              </c:ext>
            </c:extLst>
          </c:dPt>
          <c:dPt>
            <c:idx val="22"/>
            <c:invertIfNegative val="0"/>
            <c:bubble3D val="0"/>
            <c:spPr>
              <a:solidFill>
                <a:schemeClr val="tx1"/>
              </a:solidFill>
              <a:ln>
                <a:noFill/>
              </a:ln>
              <a:effectLst/>
            </c:spPr>
            <c:extLst>
              <c:ext xmlns:c16="http://schemas.microsoft.com/office/drawing/2014/chart" uri="{C3380CC4-5D6E-409C-BE32-E72D297353CC}">
                <c16:uniqueId val="{0000000D-45CA-4018-8A5C-C7D91A61B798}"/>
              </c:ext>
            </c:extLst>
          </c:dPt>
          <c:dPt>
            <c:idx val="23"/>
            <c:invertIfNegative val="0"/>
            <c:bubble3D val="0"/>
            <c:spPr>
              <a:solidFill>
                <a:schemeClr val="tx1"/>
              </a:solidFill>
              <a:ln>
                <a:noFill/>
              </a:ln>
              <a:effectLst/>
            </c:spPr>
            <c:extLst>
              <c:ext xmlns:c16="http://schemas.microsoft.com/office/drawing/2014/chart" uri="{C3380CC4-5D6E-409C-BE32-E72D297353CC}">
                <c16:uniqueId val="{00000015-E42F-428B-802F-3B6F8ADE344D}"/>
              </c:ext>
            </c:extLst>
          </c:dPt>
          <c:dPt>
            <c:idx val="24"/>
            <c:invertIfNegative val="0"/>
            <c:bubble3D val="0"/>
            <c:spPr>
              <a:solidFill>
                <a:schemeClr val="tx1"/>
              </a:solidFill>
              <a:ln>
                <a:noFill/>
              </a:ln>
              <a:effectLst/>
            </c:spPr>
            <c:extLst>
              <c:ext xmlns:c16="http://schemas.microsoft.com/office/drawing/2014/chart" uri="{C3380CC4-5D6E-409C-BE32-E72D297353CC}">
                <c16:uniqueId val="{0000000A-45CA-4018-8A5C-C7D91A61B798}"/>
              </c:ext>
            </c:extLst>
          </c:dPt>
          <c:dPt>
            <c:idx val="25"/>
            <c:invertIfNegative val="0"/>
            <c:bubble3D val="0"/>
            <c:spPr>
              <a:solidFill>
                <a:schemeClr val="tx1"/>
              </a:solidFill>
              <a:ln>
                <a:noFill/>
              </a:ln>
              <a:effectLst/>
            </c:spPr>
            <c:extLst>
              <c:ext xmlns:c16="http://schemas.microsoft.com/office/drawing/2014/chart" uri="{C3380CC4-5D6E-409C-BE32-E72D297353CC}">
                <c16:uniqueId val="{00000009-45CA-4018-8A5C-C7D91A61B798}"/>
              </c:ext>
            </c:extLst>
          </c:dPt>
          <c:dPt>
            <c:idx val="26"/>
            <c:invertIfNegative val="0"/>
            <c:bubble3D val="0"/>
            <c:spPr>
              <a:solidFill>
                <a:srgbClr val="C00000"/>
              </a:solidFill>
              <a:ln>
                <a:noFill/>
              </a:ln>
              <a:effectLst/>
            </c:spPr>
            <c:extLst>
              <c:ext xmlns:c16="http://schemas.microsoft.com/office/drawing/2014/chart" uri="{C3380CC4-5D6E-409C-BE32-E72D297353CC}">
                <c16:uniqueId val="{0000000B-45CA-4018-8A5C-C7D91A61B798}"/>
              </c:ext>
            </c:extLst>
          </c:dPt>
          <c:dPt>
            <c:idx val="27"/>
            <c:invertIfNegative val="0"/>
            <c:bubble3D val="0"/>
            <c:spPr>
              <a:solidFill>
                <a:srgbClr val="C00000"/>
              </a:solidFill>
              <a:ln>
                <a:noFill/>
              </a:ln>
              <a:effectLst/>
            </c:spPr>
            <c:extLst>
              <c:ext xmlns:c16="http://schemas.microsoft.com/office/drawing/2014/chart" uri="{C3380CC4-5D6E-409C-BE32-E72D297353CC}">
                <c16:uniqueId val="{00000008-45CA-4018-8A5C-C7D91A61B798}"/>
              </c:ext>
            </c:extLst>
          </c:dPt>
          <c:dPt>
            <c:idx val="28"/>
            <c:invertIfNegative val="0"/>
            <c:bubble3D val="0"/>
            <c:spPr>
              <a:solidFill>
                <a:srgbClr val="C00000"/>
              </a:solidFill>
              <a:ln>
                <a:noFill/>
              </a:ln>
              <a:effectLst/>
            </c:spPr>
            <c:extLst>
              <c:ext xmlns:c16="http://schemas.microsoft.com/office/drawing/2014/chart" uri="{C3380CC4-5D6E-409C-BE32-E72D297353CC}">
                <c16:uniqueId val="{0000000C-45CA-4018-8A5C-C7D91A61B798}"/>
              </c:ext>
            </c:extLst>
          </c:dPt>
          <c:dPt>
            <c:idx val="29"/>
            <c:invertIfNegative val="0"/>
            <c:bubble3D val="0"/>
            <c:spPr>
              <a:solidFill>
                <a:srgbClr val="C00000"/>
              </a:solidFill>
              <a:ln>
                <a:noFill/>
              </a:ln>
              <a:effectLst/>
            </c:spPr>
            <c:extLst>
              <c:ext xmlns:c16="http://schemas.microsoft.com/office/drawing/2014/chart" uri="{C3380CC4-5D6E-409C-BE32-E72D297353CC}">
                <c16:uniqueId val="{00000007-45CA-4018-8A5C-C7D91A61B798}"/>
              </c:ext>
            </c:extLst>
          </c:dPt>
          <c:dPt>
            <c:idx val="30"/>
            <c:invertIfNegative val="0"/>
            <c:bubble3D val="0"/>
            <c:spPr>
              <a:solidFill>
                <a:srgbClr val="C00000"/>
              </a:solidFill>
              <a:ln>
                <a:noFill/>
              </a:ln>
              <a:effectLst/>
            </c:spPr>
            <c:extLst>
              <c:ext xmlns:c16="http://schemas.microsoft.com/office/drawing/2014/chart" uri="{C3380CC4-5D6E-409C-BE32-E72D297353CC}">
                <c16:uniqueId val="{00000013-D68E-4191-8C49-7635405731D1}"/>
              </c:ext>
            </c:extLst>
          </c:dPt>
          <c:dPt>
            <c:idx val="31"/>
            <c:invertIfNegative val="0"/>
            <c:bubble3D val="0"/>
            <c:spPr>
              <a:solidFill>
                <a:srgbClr val="C00000"/>
              </a:solidFill>
              <a:ln>
                <a:noFill/>
              </a:ln>
              <a:effectLst/>
            </c:spPr>
            <c:extLst>
              <c:ext xmlns:c16="http://schemas.microsoft.com/office/drawing/2014/chart" uri="{C3380CC4-5D6E-409C-BE32-E72D297353CC}">
                <c16:uniqueId val="{00000017-D7E6-45C6-BD44-9DAF6A5B6F82}"/>
              </c:ext>
            </c:extLst>
          </c:dPt>
          <c:dPt>
            <c:idx val="32"/>
            <c:invertIfNegative val="0"/>
            <c:bubble3D val="0"/>
            <c:spPr>
              <a:solidFill>
                <a:srgbClr val="C00000"/>
              </a:solidFill>
              <a:ln>
                <a:noFill/>
              </a:ln>
              <a:effectLst/>
            </c:spPr>
            <c:extLst>
              <c:ext xmlns:c16="http://schemas.microsoft.com/office/drawing/2014/chart" uri="{C3380CC4-5D6E-409C-BE32-E72D297353CC}">
                <c16:uniqueId val="{00000018-D7E6-45C6-BD44-9DAF6A5B6F82}"/>
              </c:ext>
            </c:extLst>
          </c:dPt>
          <c:dPt>
            <c:idx val="33"/>
            <c:invertIfNegative val="0"/>
            <c:bubble3D val="0"/>
            <c:spPr>
              <a:solidFill>
                <a:srgbClr val="C00000"/>
              </a:solidFill>
              <a:ln>
                <a:noFill/>
              </a:ln>
              <a:effectLst/>
            </c:spPr>
            <c:extLst>
              <c:ext xmlns:c16="http://schemas.microsoft.com/office/drawing/2014/chart" uri="{C3380CC4-5D6E-409C-BE32-E72D297353CC}">
                <c16:uniqueId val="{0000001D-B20F-4A15-8DC8-56B8EB5F98BA}"/>
              </c:ext>
            </c:extLst>
          </c:dPt>
          <c:dPt>
            <c:idx val="34"/>
            <c:invertIfNegative val="0"/>
            <c:bubble3D val="0"/>
            <c:spPr>
              <a:solidFill>
                <a:srgbClr val="C00000"/>
              </a:solidFill>
              <a:ln>
                <a:noFill/>
              </a:ln>
              <a:effectLst/>
            </c:spPr>
            <c:extLst>
              <c:ext xmlns:c16="http://schemas.microsoft.com/office/drawing/2014/chart" uri="{C3380CC4-5D6E-409C-BE32-E72D297353CC}">
                <c16:uniqueId val="{0000001C-B20F-4A15-8DC8-56B8EB5F98BA}"/>
              </c:ext>
            </c:extLst>
          </c:dPt>
          <c:dPt>
            <c:idx val="35"/>
            <c:invertIfNegative val="0"/>
            <c:bubble3D val="0"/>
            <c:spPr>
              <a:solidFill>
                <a:srgbClr val="C00000"/>
              </a:solidFill>
              <a:ln>
                <a:noFill/>
              </a:ln>
              <a:effectLst/>
            </c:spPr>
            <c:extLst>
              <c:ext xmlns:c16="http://schemas.microsoft.com/office/drawing/2014/chart" uri="{C3380CC4-5D6E-409C-BE32-E72D297353CC}">
                <c16:uniqueId val="{0000001E-B20F-4A15-8DC8-56B8EB5F98BA}"/>
              </c:ext>
            </c:extLst>
          </c:dPt>
          <c:dPt>
            <c:idx val="36"/>
            <c:invertIfNegative val="0"/>
            <c:bubble3D val="0"/>
            <c:spPr>
              <a:solidFill>
                <a:srgbClr val="C00000"/>
              </a:solidFill>
              <a:ln>
                <a:noFill/>
              </a:ln>
              <a:effectLst/>
            </c:spPr>
            <c:extLst>
              <c:ext xmlns:c16="http://schemas.microsoft.com/office/drawing/2014/chart" uri="{C3380CC4-5D6E-409C-BE32-E72D297353CC}">
                <c16:uniqueId val="{0000001B-B20F-4A15-8DC8-56B8EB5F98BA}"/>
              </c:ext>
            </c:extLst>
          </c:dPt>
          <c:dPt>
            <c:idx val="37"/>
            <c:invertIfNegative val="0"/>
            <c:bubble3D val="0"/>
            <c:spPr>
              <a:solidFill>
                <a:srgbClr val="C00000"/>
              </a:solidFill>
              <a:ln>
                <a:noFill/>
              </a:ln>
              <a:effectLst/>
            </c:spPr>
            <c:extLst>
              <c:ext xmlns:c16="http://schemas.microsoft.com/office/drawing/2014/chart" uri="{C3380CC4-5D6E-409C-BE32-E72D297353CC}">
                <c16:uniqueId val="{00000023-8CC3-4E54-9960-0F980A27CEC9}"/>
              </c:ext>
            </c:extLst>
          </c:dPt>
          <c:dPt>
            <c:idx val="38"/>
            <c:invertIfNegative val="0"/>
            <c:bubble3D val="0"/>
            <c:spPr>
              <a:solidFill>
                <a:schemeClr val="bg1">
                  <a:lumMod val="50000"/>
                </a:schemeClr>
              </a:solidFill>
              <a:ln>
                <a:noFill/>
              </a:ln>
              <a:effectLst/>
            </c:spPr>
            <c:extLst>
              <c:ext xmlns:c16="http://schemas.microsoft.com/office/drawing/2014/chart" uri="{C3380CC4-5D6E-409C-BE32-E72D297353CC}">
                <c16:uniqueId val="{00000024-8CC3-4E54-9960-0F980A27CEC9}"/>
              </c:ext>
            </c:extLst>
          </c:dPt>
          <c:dLbls>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mn-lt"/>
                    <a:ea typeface="+mn-ea"/>
                    <a:cs typeface="+mn-cs"/>
                  </a:defRPr>
                </a:pPr>
                <a:endParaRPr lang="tr-T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'Özet Tablo'!$O$1:$O$19</c:f>
              <c:strCache>
                <c:ptCount val="19"/>
                <c:pt idx="0">
                  <c:v>Normal Çalışma</c:v>
                </c:pt>
                <c:pt idx="1">
                  <c:v>Kıdem Yardımı</c:v>
                </c:pt>
                <c:pt idx="2">
                  <c:v>Fazla Çalışma (Gündüz / Gece)</c:v>
                </c:pt>
                <c:pt idx="3">
                  <c:v>Resmi Tatillerde Çalışma</c:v>
                </c:pt>
                <c:pt idx="4">
                  <c:v>Yemek Yardımı</c:v>
                </c:pt>
                <c:pt idx="5">
                  <c:v>Ulaşım Yardımı</c:v>
                </c:pt>
                <c:pt idx="6">
                  <c:v>İkramiye Yardımı</c:v>
                </c:pt>
                <c:pt idx="7">
                  <c:v>Sosyal Yardım</c:v>
                </c:pt>
                <c:pt idx="8">
                  <c:v>İdari Sorumluluk Primi</c:v>
                </c:pt>
                <c:pt idx="9">
                  <c:v>İş Güçlüğü Primi</c:v>
                </c:pt>
                <c:pt idx="10">
                  <c:v>Tamamlayıcı Sağlık Sigortası Teminatı</c:v>
                </c:pt>
                <c:pt idx="11">
                  <c:v>Nakdi Yardımlar</c:v>
                </c:pt>
                <c:pt idx="12">
                  <c:v>Sendika Üyelik Aidatı Kesintisi</c:v>
                </c:pt>
                <c:pt idx="13">
                  <c:v>BES Kesintisi</c:v>
                </c:pt>
                <c:pt idx="14">
                  <c:v>Damga Vergisi Kesintisi</c:v>
                </c:pt>
                <c:pt idx="15">
                  <c:v>SGK Prim Kesintisi</c:v>
                </c:pt>
                <c:pt idx="16">
                  <c:v>SGK İşsizlik Primi Kesintisi</c:v>
                </c:pt>
                <c:pt idx="17">
                  <c:v>Gelir Vergisi Kesintisi</c:v>
                </c:pt>
                <c:pt idx="18">
                  <c:v>İşveren Maliyeti</c:v>
                </c:pt>
              </c:strCache>
            </c:strRef>
          </c:cat>
          <c:val>
            <c:numRef>
              <c:f>'Özet Tablo'!$P$1:$P$19</c:f>
              <c:numCache>
                <c:formatCode>#,##0.00\ "₺"</c:formatCode>
                <c:ptCount val="19"/>
                <c:pt idx="0">
                  <c:v>101144</c:v>
                </c:pt>
                <c:pt idx="1">
                  <c:v>0</c:v>
                </c:pt>
                <c:pt idx="2">
                  <c:v>21612.5</c:v>
                </c:pt>
                <c:pt idx="3">
                  <c:v>0</c:v>
                </c:pt>
                <c:pt idx="4">
                  <c:v>11000</c:v>
                </c:pt>
                <c:pt idx="5">
                  <c:v>6662.18</c:v>
                </c:pt>
                <c:pt idx="6">
                  <c:v>33250</c:v>
                </c:pt>
                <c:pt idx="7">
                  <c:v>6795.7199999999975</c:v>
                </c:pt>
                <c:pt idx="8">
                  <c:v>8100</c:v>
                </c:pt>
                <c:pt idx="9">
                  <c:v>0</c:v>
                </c:pt>
                <c:pt idx="10">
                  <c:v>4724.6258316000012</c:v>
                </c:pt>
                <c:pt idx="11">
                  <c:v>0</c:v>
                </c:pt>
                <c:pt idx="12">
                  <c:v>3552.3082584489744</c:v>
                </c:pt>
                <c:pt idx="13">
                  <c:v>0</c:v>
                </c:pt>
                <c:pt idx="14">
                  <c:v>1731.3519260948324</c:v>
                </c:pt>
                <c:pt idx="15">
                  <c:v>30883.278745359228</c:v>
                </c:pt>
                <c:pt idx="16">
                  <c:v>2205.9484818113733</c:v>
                </c:pt>
                <c:pt idx="17">
                  <c:v>0</c:v>
                </c:pt>
                <c:pt idx="18">
                  <c:v>265747.69353102497</c:v>
                </c:pt>
              </c:numCache>
            </c:numRef>
          </c:val>
          <c:extLst>
            <c:ext xmlns:c16="http://schemas.microsoft.com/office/drawing/2014/chart" uri="{C3380CC4-5D6E-409C-BE32-E72D297353CC}">
              <c16:uniqueId val="{00000000-755B-478D-AB69-BF223AA4AC7C}"/>
            </c:ext>
          </c:extLst>
        </c:ser>
        <c:dLbls>
          <c:dLblPos val="outEnd"/>
          <c:showLegendKey val="0"/>
          <c:showVal val="1"/>
          <c:showCatName val="0"/>
          <c:showSerName val="0"/>
          <c:showPercent val="0"/>
          <c:showBubbleSize val="0"/>
        </c:dLbls>
        <c:gapWidth val="182"/>
        <c:axId val="552148752"/>
        <c:axId val="552147112"/>
      </c:barChart>
      <c:catAx>
        <c:axId val="552148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tr-TR"/>
          </a:p>
        </c:txPr>
        <c:crossAx val="552147112"/>
        <c:crosses val="autoZero"/>
        <c:auto val="1"/>
        <c:lblAlgn val="ctr"/>
        <c:lblOffset val="100"/>
        <c:tickMarkSkip val="1"/>
        <c:noMultiLvlLbl val="0"/>
      </c:catAx>
      <c:valAx>
        <c:axId val="552147112"/>
        <c:scaling>
          <c:orientation val="minMax"/>
        </c:scaling>
        <c:delete val="1"/>
        <c:axPos val="t"/>
        <c:numFmt formatCode="#,##0.00\ &quot;₺&quot;" sourceLinked="1"/>
        <c:majorTickMark val="out"/>
        <c:minorTickMark val="none"/>
        <c:tickLblPos val="nextTo"/>
        <c:crossAx val="5521487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1600"/>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explosion val="4"/>
            <c:spPr>
              <a:solidFill>
                <a:schemeClr val="tx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5D9F-40F4-A256-823C9FF01F41}"/>
              </c:ext>
            </c:extLst>
          </c:dPt>
          <c:dPt>
            <c:idx val="1"/>
            <c:bubble3D val="0"/>
            <c:explosion val="5"/>
            <c:spPr>
              <a:solidFill>
                <a:srgbClr val="C00000"/>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5D9F-40F4-A256-823C9FF01F41}"/>
              </c:ext>
            </c:extLst>
          </c:dPt>
          <c:dLbls>
            <c:dLbl>
              <c:idx val="0"/>
              <c:layout>
                <c:manualLayout>
                  <c:x val="0"/>
                  <c:y val="-0.2727330235099843"/>
                </c:manualLayout>
              </c:layout>
              <c:tx>
                <c:rich>
                  <a:bodyPr rot="0" spcFirstLastPara="1" vertOverflow="ellipsis" vert="horz" wrap="square" lIns="0" tIns="0" rIns="0" bIns="0" anchor="ctr" anchorCtr="0">
                    <a:noAutofit/>
                  </a:bodyPr>
                  <a:lstStyle/>
                  <a:p>
                    <a:pPr lvl="1" algn="ctr" rtl="0">
                      <a:defRPr sz="2000" b="1" i="0" u="none" strike="noStrike" kern="1200" baseline="0">
                        <a:solidFill>
                          <a:sysClr val="windowText" lastClr="000000"/>
                        </a:solidFill>
                        <a:latin typeface="+mn-lt"/>
                        <a:ea typeface="+mn-ea"/>
                        <a:cs typeface="+mn-cs"/>
                      </a:defRPr>
                    </a:pPr>
                    <a:r>
                      <a:rPr lang="en-US" sz="2000" i="0" u="sng" baseline="0">
                        <a:solidFill>
                          <a:sysClr val="windowText" lastClr="000000"/>
                        </a:solidFill>
                      </a:rPr>
                      <a:t>Kazançlar</a:t>
                    </a:r>
                  </a:p>
                  <a:p>
                    <a:pPr lvl="1" algn="ctr" rtl="0">
                      <a:defRPr sz="2000" b="1" i="0" u="none" strike="noStrike" kern="1200" baseline="0">
                        <a:solidFill>
                          <a:sysClr val="windowText" lastClr="000000"/>
                        </a:solidFill>
                        <a:latin typeface="+mn-lt"/>
                        <a:ea typeface="+mn-ea"/>
                        <a:cs typeface="+mn-cs"/>
                      </a:defRPr>
                    </a:pPr>
                    <a:fld id="{18CB9E8E-A975-43C0-A56F-BEEBC923E687}" type="VALUE">
                      <a:rPr lang="en-US" sz="2000" i="0">
                        <a:solidFill>
                          <a:sysClr val="windowText" lastClr="000000"/>
                        </a:solidFill>
                      </a:rPr>
                      <a:pPr lvl="1" algn="ctr" rtl="0">
                        <a:defRPr sz="2000" b="1" i="0" u="none" strike="noStrike" kern="1200" baseline="0">
                          <a:solidFill>
                            <a:sysClr val="windowText" lastClr="000000"/>
                          </a:solidFill>
                          <a:latin typeface="+mn-lt"/>
                          <a:ea typeface="+mn-ea"/>
                          <a:cs typeface="+mn-cs"/>
                        </a:defRPr>
                      </a:pPr>
                      <a:t>[DEĞER]</a:t>
                    </a:fld>
                    <a:endParaRPr lang="en-US" sz="2000" i="0" baseline="0">
                      <a:solidFill>
                        <a:sysClr val="windowText" lastClr="000000"/>
                      </a:solidFill>
                    </a:endParaRPr>
                  </a:p>
                  <a:p>
                    <a:pPr lvl="1" algn="ctr" rtl="0">
                      <a:defRPr sz="2000" b="1" i="0" u="none" strike="noStrike" kern="1200" baseline="0">
                        <a:solidFill>
                          <a:sysClr val="windowText" lastClr="000000"/>
                        </a:solidFill>
                        <a:latin typeface="+mn-lt"/>
                        <a:ea typeface="+mn-ea"/>
                        <a:cs typeface="+mn-cs"/>
                      </a:defRPr>
                    </a:pPr>
                    <a:fld id="{ED1D6583-AC77-4CB8-8AE1-8BB6A6F10BE5}" type="PERCENTAGE">
                      <a:rPr lang="en-US" sz="2000" i="0">
                        <a:solidFill>
                          <a:sysClr val="windowText" lastClr="000000"/>
                        </a:solidFill>
                      </a:rPr>
                      <a:pPr lvl="1" algn="ctr" rtl="0">
                        <a:defRPr sz="2000" b="1" i="0" u="none" strike="noStrike" kern="1200" baseline="0">
                          <a:solidFill>
                            <a:sysClr val="windowText" lastClr="000000"/>
                          </a:solidFill>
                          <a:latin typeface="+mn-lt"/>
                          <a:ea typeface="+mn-ea"/>
                          <a:cs typeface="+mn-cs"/>
                        </a:defRPr>
                      </a:pPr>
                      <a:t>[YÜZDE]</a:t>
                    </a:fld>
                    <a:endParaRPr lang="tr-TR"/>
                  </a:p>
                </c:rich>
              </c:tx>
              <c:numFmt formatCode="%\ 0.00" sourceLinked="0"/>
              <c:spPr>
                <a:noFill/>
                <a:ln>
                  <a:noFill/>
                </a:ln>
                <a:effectLst/>
              </c:spPr>
              <c:dLblPos val="bestFit"/>
              <c:showLegendKey val="0"/>
              <c:showVal val="0"/>
              <c:showCatName val="0"/>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1"/>
                      <c:h val="0.2"/>
                    </c:manualLayout>
                  </c15:layout>
                  <c15:dlblFieldTable/>
                  <c15:showDataLabelsRange val="0"/>
                </c:ext>
                <c:ext xmlns:c16="http://schemas.microsoft.com/office/drawing/2014/chart" uri="{C3380CC4-5D6E-409C-BE32-E72D297353CC}">
                  <c16:uniqueId val="{00000001-5D9F-40F4-A256-823C9FF01F41}"/>
                </c:ext>
              </c:extLst>
            </c:dLbl>
            <c:dLbl>
              <c:idx val="1"/>
              <c:layout>
                <c:manualLayout>
                  <c:x val="0"/>
                  <c:y val="0.28660887761598208"/>
                </c:manualLayout>
              </c:layout>
              <c:tx>
                <c:rich>
                  <a:bodyPr rot="0" spcFirstLastPara="1" vertOverflow="ellipsis" vert="horz" wrap="square" lIns="0" tIns="0" rIns="0" bIns="0" anchor="t" anchorCtr="0">
                    <a:noAutofit/>
                  </a:bodyPr>
                  <a:lstStyle/>
                  <a:p>
                    <a:pPr lvl="1" algn="ctr" rtl="0">
                      <a:defRPr sz="2000" b="1" i="0" u="none" strike="noStrike" kern="1200" baseline="0">
                        <a:solidFill>
                          <a:srgbClr val="C00000"/>
                        </a:solidFill>
                        <a:latin typeface="+mn-lt"/>
                        <a:ea typeface="+mn-ea"/>
                        <a:cs typeface="+mn-cs"/>
                      </a:defRPr>
                    </a:pPr>
                    <a:r>
                      <a:rPr lang="en-US" sz="2000" b="1" i="0" u="sng" strike="noStrike" baseline="0">
                        <a:solidFill>
                          <a:srgbClr val="C00000"/>
                        </a:solidFill>
                      </a:rPr>
                      <a:t>Kesintiler</a:t>
                    </a:r>
                    <a:br>
                      <a:rPr lang="en-US" sz="2000" b="1" i="0" u="none" strike="noStrike" baseline="0">
                        <a:solidFill>
                          <a:srgbClr val="C00000"/>
                        </a:solidFill>
                      </a:rPr>
                    </a:br>
                    <a:fld id="{D48269F3-90DB-4B96-9E27-A88140910F88}" type="VALUE">
                      <a:rPr lang="en-US" sz="2000">
                        <a:solidFill>
                          <a:srgbClr val="C00000"/>
                        </a:solidFill>
                      </a:rPr>
                      <a:pPr lvl="1" algn="ctr" rtl="0">
                        <a:defRPr sz="2000" b="1" i="0" u="none" strike="noStrike" kern="1200" baseline="0">
                          <a:solidFill>
                            <a:srgbClr val="C00000"/>
                          </a:solidFill>
                          <a:latin typeface="+mn-lt"/>
                          <a:ea typeface="+mn-ea"/>
                          <a:cs typeface="+mn-cs"/>
                        </a:defRPr>
                      </a:pPr>
                      <a:t>[DEĞER]</a:t>
                    </a:fld>
                    <a:endParaRPr lang="en-US" sz="2000" baseline="0">
                      <a:solidFill>
                        <a:srgbClr val="C00000"/>
                      </a:solidFill>
                    </a:endParaRPr>
                  </a:p>
                  <a:p>
                    <a:pPr lvl="1" algn="ctr" rtl="0">
                      <a:defRPr sz="2000" b="1" i="0" u="none" strike="noStrike" kern="1200" baseline="0">
                        <a:solidFill>
                          <a:srgbClr val="C00000"/>
                        </a:solidFill>
                        <a:latin typeface="+mn-lt"/>
                        <a:ea typeface="+mn-ea"/>
                        <a:cs typeface="+mn-cs"/>
                      </a:defRPr>
                    </a:pPr>
                    <a:fld id="{C4F91586-97B1-4B5B-B426-9B699746C01D}" type="PERCENTAGE">
                      <a:rPr lang="en-US" sz="2000">
                        <a:solidFill>
                          <a:srgbClr val="C00000"/>
                        </a:solidFill>
                      </a:rPr>
                      <a:pPr lvl="1" algn="ctr" rtl="0">
                        <a:defRPr sz="2000" b="1" i="0" u="none" strike="noStrike" kern="1200" baseline="0">
                          <a:solidFill>
                            <a:srgbClr val="C00000"/>
                          </a:solidFill>
                          <a:latin typeface="+mn-lt"/>
                          <a:ea typeface="+mn-ea"/>
                          <a:cs typeface="+mn-cs"/>
                        </a:defRPr>
                      </a:pPr>
                      <a:t>[YÜZDE]</a:t>
                    </a:fld>
                    <a:endParaRPr lang="tr-TR"/>
                  </a:p>
                </c:rich>
              </c:tx>
              <c:numFmt formatCode="%\ 0.00" sourceLinked="0"/>
              <c:spPr>
                <a:noFill/>
                <a:ln>
                  <a:noFill/>
                </a:ln>
                <a:effectLst/>
              </c:spPr>
              <c:dLblPos val="bestFit"/>
              <c:showLegendKey val="0"/>
              <c:showVal val="0"/>
              <c:showCatName val="0"/>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1"/>
                      <c:h val="0.18251962962962964"/>
                    </c:manualLayout>
                  </c15:layout>
                  <c15:dlblFieldTable/>
                  <c15:showDataLabelsRange val="0"/>
                </c:ext>
                <c:ext xmlns:c16="http://schemas.microsoft.com/office/drawing/2014/chart" uri="{C3380CC4-5D6E-409C-BE32-E72D297353CC}">
                  <c16:uniqueId val="{00000003-5D9F-40F4-A256-823C9FF01F41}"/>
                </c:ext>
              </c:extLst>
            </c:dLbl>
            <c:numFmt formatCode="%\ 0.00" sourceLinked="0"/>
            <c:spPr>
              <a:noFill/>
              <a:ln>
                <a:noFill/>
              </a:ln>
              <a:effectLst/>
            </c:spPr>
            <c:txPr>
              <a:bodyPr rot="0" spcFirstLastPara="1" vertOverflow="ellipsis" vert="horz" wrap="square" lIns="0" tIns="0" rIns="0" bIns="0" anchor="ctr" anchorCtr="0">
                <a:spAutoFit/>
              </a:bodyPr>
              <a:lstStyle/>
              <a:p>
                <a:pPr algn="ctr">
                  <a:defRPr sz="1300" b="1" i="0" u="none" strike="noStrike" kern="1200" baseline="0">
                    <a:solidFill>
                      <a:schemeClr val="lt1"/>
                    </a:solidFill>
                    <a:latin typeface="+mn-lt"/>
                    <a:ea typeface="+mn-ea"/>
                    <a:cs typeface="+mn-cs"/>
                  </a:defRPr>
                </a:pPr>
                <a:endParaRPr lang="tr-TR"/>
              </a:p>
            </c:txPr>
            <c:dLblPos val="ctr"/>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'Özet Tablo'!$O$20:$O$21</c:f>
              <c:strCache>
                <c:ptCount val="2"/>
                <c:pt idx="0">
                  <c:v>Kazançlar</c:v>
                </c:pt>
                <c:pt idx="1">
                  <c:v>Kesintiler</c:v>
                </c:pt>
              </c:strCache>
            </c:strRef>
          </c:cat>
          <c:val>
            <c:numRef>
              <c:f>'Özet Tablo'!$P$20:$P$21</c:f>
              <c:numCache>
                <c:formatCode>#,##0.00\ "₺"</c:formatCode>
                <c:ptCount val="2"/>
                <c:pt idx="0">
                  <c:v>184975.96076942293</c:v>
                </c:pt>
                <c:pt idx="1">
                  <c:v>43133.647411714395</c:v>
                </c:pt>
              </c:numCache>
            </c:numRef>
          </c:val>
          <c:extLst>
            <c:ext xmlns:c16="http://schemas.microsoft.com/office/drawing/2014/chart" uri="{C3380CC4-5D6E-409C-BE32-E72D297353CC}">
              <c16:uniqueId val="{00000004-5D9F-40F4-A256-823C9FF01F41}"/>
            </c:ext>
          </c:extLst>
        </c:ser>
        <c:dLbls>
          <c:dLblPos val="inEnd"/>
          <c:showLegendKey val="0"/>
          <c:showVal val="1"/>
          <c:showCatName val="1"/>
          <c:showSerName val="0"/>
          <c:showPercent val="0"/>
          <c:showBubbleSize val="0"/>
          <c:showLeaderLines val="0"/>
        </c:dLbls>
        <c:firstSliceAng val="27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85000"/>
      </a:schemeClr>
    </a:solidFill>
    <a:ln w="9525" cap="flat" cmpd="sng" algn="ctr">
      <a:noFill/>
      <a:round/>
    </a:ln>
    <a:effectLst/>
  </c:spPr>
  <c:txPr>
    <a:bodyPr/>
    <a:lstStyle/>
    <a:p>
      <a:pPr>
        <a:defRPr/>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18</xdr:col>
      <xdr:colOff>53463</xdr:colOff>
      <xdr:row>0</xdr:row>
      <xdr:rowOff>70921</xdr:rowOff>
    </xdr:from>
    <xdr:to>
      <xdr:col>18</xdr:col>
      <xdr:colOff>7290954</xdr:colOff>
      <xdr:row>27</xdr:row>
      <xdr:rowOff>398319</xdr:rowOff>
    </xdr:to>
    <xdr:graphicFrame macro="">
      <xdr:nvGraphicFramePr>
        <xdr:cNvPr id="7" name="Grafik 6">
          <a:extLst>
            <a:ext uri="{FF2B5EF4-FFF2-40B4-BE49-F238E27FC236}">
              <a16:creationId xmlns:a16="http://schemas.microsoft.com/office/drawing/2014/main" id="{80F8C963-D5D5-4BCD-8610-182E47B88E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18</xdr:col>
      <xdr:colOff>4966692</xdr:colOff>
      <xdr:row>8</xdr:row>
      <xdr:rowOff>125886</xdr:rowOff>
    </xdr:from>
    <xdr:to>
      <xdr:col>18</xdr:col>
      <xdr:colOff>7306692</xdr:colOff>
      <xdr:row>19</xdr:row>
      <xdr:rowOff>5969</xdr:rowOff>
    </xdr:to>
    <xdr:graphicFrame macro="">
      <xdr:nvGraphicFramePr>
        <xdr:cNvPr id="3" name="Grafik 2">
          <a:extLst>
            <a:ext uri="{FF2B5EF4-FFF2-40B4-BE49-F238E27FC236}">
              <a16:creationId xmlns:a16="http://schemas.microsoft.com/office/drawing/2014/main" id="{7ADA3213-C9FB-42E9-8CD0-901898DBDF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PrintsWithSheet="0"/>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VA363"/>
  <sheetViews>
    <sheetView showGridLines="0" showRowColHeaders="0" tabSelected="1" showWhiteSpace="0" zoomScale="40" zoomScaleNormal="40" zoomScaleSheetLayoutView="40" zoomScalePageLayoutView="55" workbookViewId="0">
      <pane xSplit="2" topLeftCell="C1" activePane="topRight" state="frozen"/>
      <selection pane="topRight" sqref="A1:A14"/>
    </sheetView>
  </sheetViews>
  <sheetFormatPr defaultColWidth="0" defaultRowHeight="39.950000000000003" customHeight="1" zeroHeight="1" x14ac:dyDescent="0.25"/>
  <cols>
    <col min="1" max="11" width="12.7109375" style="2" customWidth="1"/>
    <col min="12" max="14" width="20.7109375" style="2" customWidth="1"/>
    <col min="15" max="17" width="0.140625" style="22" customWidth="1"/>
    <col min="18" max="18" width="5.7109375" style="1" customWidth="1"/>
    <col min="19" max="19" width="110.7109375" style="2" customWidth="1"/>
    <col min="20" max="21" width="20.7109375" style="28" hidden="1" customWidth="1"/>
    <col min="22" max="23" width="5.7109375" style="1" customWidth="1"/>
    <col min="24" max="24" width="80.7109375" style="1" customWidth="1"/>
    <col min="25" max="25" width="5.7109375" style="1" customWidth="1"/>
    <col min="26" max="26" width="5.7109375" style="1" hidden="1" customWidth="1"/>
    <col min="27" max="109" width="5.7109375" style="42" hidden="1" customWidth="1"/>
    <col min="110" max="112" width="20.7109375" style="42" hidden="1" customWidth="1"/>
    <col min="113" max="113" width="1.7109375" style="2" customWidth="1"/>
    <col min="114" max="573" width="0" style="2" hidden="1" customWidth="1"/>
    <col min="574" max="16384" width="5.7109375" style="2" hidden="1"/>
  </cols>
  <sheetData>
    <row r="1" spans="1:113" ht="39.950000000000003" customHeight="1" x14ac:dyDescent="0.25">
      <c r="A1" s="76" t="s">
        <v>112</v>
      </c>
      <c r="B1" s="77">
        <f>COUNTIF($A$1,"1S-Kaptan-Üniversite")*($AD$1)
+COUNTIF($A$1,"1S-Kaptan-MYO")*($AD$2)
+COUNTIF($A$1,"1S-Kaptan-Lise")*($AD$3)
+COUNTIF($A$1,"1S-Kaptan-Ortaokul")*($AD$4)
+COUNTIF($A$1,"1S-Kaptan-İlkokul")*($AD$5)
+COUNTIF($A$1,"1S-Baş Makinist-Üniversite")*($AD$6)
+COUNTIF($A$1,"1S-Baş Makinist-MYO")*($AD$7)
+COUNTIF($A$1,"1S-Baş Makinist-Lise")*($AD$8)
+COUNTIF($A$1,"1S-Baş Makinist-Ortaokul")*($AD$9)
+COUNTIF($A$1,"1S-Baş Makinist-İlkokul")*($AD$10)
+COUNTIF($A$1,"1S-İkinci Kaptan-Üniversite")*($AD$11)
+COUNTIF($A$1,"1S-İkinci Kaptan-MYO")*($AD$12)
+COUNTIF($A$1,"1S-İkinci Kaptan-Lise")*($AD$13)
+COUNTIF($A$1,"1S-İkinci Kaptan-Ortaokul")*($AD$14)
+COUNTIF($A$1,"1S-İkinci Kaptan-İlkokul")*($AD$15)
+COUNTIF($A$1,"1S-Usta Gemici-Üniversite")*($AD$16)
+COUNTIF($A$1,"1S-Usta Gemici-MYO")*($AD$17)
+COUNTIF($A$1,"1S-Usta Gemici-Lise")*($AD$18)
+COUNTIF($A$1,"1S-Usta Gemici-Ortaokul")*($AD$19)
+COUNTIF($A$1,"1S-Usta Gemici-İlkokul")*($AD$20)
+COUNTIF($A$1,"1S-Yağcı-Üniversite")*($AD$21)
+COUNTIF($A$1,"1S-Yağcı-MYO")*($AD$22)
+COUNTIF($A$1,"1S-Yağcı-Lise")*($AD$23)
+COUNTIF($A$1,"1S-Yağcı-Ortaokul")*($AD$24)
+COUNTIF($A$1,"1S-Yağcı-İlkokul")*($AD$25)
+COUNTIF($A$1,"2S-Kaptan-Üniversite")*($AD$26)
+COUNTIF($A$1,"2S-Kaptan-MYO")*($AD$27)
+COUNTIF($A$1,"2S-Kaptan-Lise")*($AD$28)
+COUNTIF($A$1,"2S-Kaptan-Ortaokul")*($AD$29)
+COUNTIF($A$1,"2S-Kaptan-İlkokul")*($AD$30)
+COUNTIF($A$1,"2S-Baş Makinist-Üniversite")*($AD$31)
+COUNTIF($A$1,"2S-Baş Makinist-MYO")*($AD$32)
+COUNTIF($A$1,"2S-Baş Makinist-Lise")*($AD$33)
+COUNTIF($A$1,"2S-Baş Makinist-Ortaokul")*($AD$34)
+COUNTIF($A$1,"2S-Baş Makinist-İlkokul")*($AD$35)
+COUNTIF($A$1,"2S-İkinci Kaptan-Üniversite")*($AD$36)
+COUNTIF($A$1,"2S-İkinci Kaptan-MYO")*($AD$37)
+COUNTIF($A$1,"2S-İkinci Kaptan-Lise")*($AD$38)
+COUNTIF($A$1,"2S-İkinci Kaptan-Ortaokul")*($AD$39)
+COUNTIF($A$1,"2S-İkinci Kaptan-İlkokul")*($AD$40)
+COUNTIF($A$1,"2S-Usta Gemici-Üniversite")*($AD$41)
+COUNTIF($A$1,"2S-Usta Gemici-MYO")*($AD$42)
+COUNTIF($A$1,"2S-Usta Gemici-Lise")*($AD$43)
+COUNTIF($A$1,"2S-Usta Gemici-Ortaokul")*($AD$44)
+COUNTIF($A$1,"2S-Usta Gemici-İlkokul")*($AD$45)
+COUNTIF($A$1,"2S-Yağcı-Üniversite")*($AD$46)
+COUNTIF($A$1,"2S-Yağcı-MYO")*($AD$47)
+COUNTIF($A$1,"2S-Yağcı-Lise")*($AD$48)
+COUNTIF($A$1,"2S-Yağcı-Ortaokul")*($AD$49)
+COUNTIF($A$1,"2S-Yağcı-İlkokul")*($AD$50)
+COUNTIF($A$1,"2S-Gemici-Üniversite")*($AD$51)
+COUNTIF($A$1,"2S-Gemici-MYO")*($AD$52)
+COUNTIF($A$1,"2S-Gemici-Lise")*($AD$53)
+COUNTIF($A$1,"2S-Gemici-Ortaokul")*($AD$54)
+COUNTIF($A$1,"2S-Gemici-İlkokul")*($AD$55)
+COUNTIF($A$1,"2S-Gemi Salon Sorumlusu-Üniversite")*($AD$56)
+COUNTIF($A$1,"2S-Gemi Salon Sorumlusu-MYO")*($AD$57)
+COUNTIF($A$1,"2S-Gemi Salon Sorumlusu-Lise")*($AD$58)
+COUNTIF($A$1,"2S-Gemi Salon Sorumlusu-Ortaokul")*($AD$59)
+COUNTIF($A$1,"2S-Gemi Salon Sorumlusu-İlkokul")*($AD$60)</f>
        <v>294.25</v>
      </c>
      <c r="C1" s="67" t="s">
        <v>58</v>
      </c>
      <c r="D1" s="67" t="s">
        <v>59</v>
      </c>
      <c r="E1" s="78" t="s">
        <v>75</v>
      </c>
      <c r="F1" s="67" t="s">
        <v>60</v>
      </c>
      <c r="G1" s="67" t="s">
        <v>142</v>
      </c>
      <c r="H1" s="57" t="s">
        <v>61</v>
      </c>
      <c r="I1" s="57" t="s">
        <v>61</v>
      </c>
      <c r="J1" s="57" t="s">
        <v>61</v>
      </c>
      <c r="K1" s="67" t="s">
        <v>62</v>
      </c>
      <c r="L1" s="67" t="s">
        <v>76</v>
      </c>
      <c r="M1" s="67" t="s">
        <v>87</v>
      </c>
      <c r="N1" s="73" t="s">
        <v>73</v>
      </c>
      <c r="O1" s="18" t="s">
        <v>33</v>
      </c>
      <c r="P1" s="19">
        <f t="shared" ref="P1:P4" si="0">IF(Q1&gt;0,Q1,Q1*-1)</f>
        <v>101144</v>
      </c>
      <c r="Q1" s="19">
        <f>COUNTIF(R1,"Ocak")*(AS12)
+COUNTIF(R1,"Şubat")*(AS13)
+COUNTIF(R1,"Mart")*(AS14)
+COUNTIF(R1,"Nisan")*(AS1)
+COUNTIF(R1,"Mayıs")*(AS2)
+COUNTIF(R1,"Haziran")*(AS3)
+COUNTIF(R1,"Temmuz")*(AS21)
+COUNTIF(R1,"Ağustos")*(AS22)
+COUNTIF(R1,"Eylül")*(AS23)
+COUNTIF(R1,"Ekim")*(AS24)
+COUNTIF(R1,"Kasım")*(AS25)
+COUNTIF(R1,"Aralık")*(AS26)
+COUNTIF(R1,"Yıllık Toplam")*(AS27)
+COUNTIF(R1,"Yıllık Ortalama")*(AS28)</f>
        <v>101144</v>
      </c>
      <c r="R1" s="72" t="s">
        <v>56</v>
      </c>
      <c r="S1" s="71"/>
      <c r="T1" s="23" t="s">
        <v>26</v>
      </c>
      <c r="U1" s="23" t="s">
        <v>77</v>
      </c>
      <c r="V1" s="60" t="s">
        <v>44</v>
      </c>
      <c r="W1" s="64"/>
      <c r="X1" s="65"/>
      <c r="Y1" s="66"/>
      <c r="Z1" s="29"/>
      <c r="AA1" s="32" t="s">
        <v>91</v>
      </c>
      <c r="AB1" s="33">
        <v>294.25</v>
      </c>
      <c r="AC1" s="33">
        <v>294.25</v>
      </c>
      <c r="AD1" s="33">
        <v>294.25</v>
      </c>
      <c r="AE1" s="34">
        <f>(AF14+1)</f>
        <v>44652</v>
      </c>
      <c r="AF1" s="34">
        <f>EOMONTH(AE1,0)</f>
        <v>44681</v>
      </c>
      <c r="AG1" s="35">
        <f>DAY(AF1)</f>
        <v>30</v>
      </c>
      <c r="AH1" s="35">
        <f>NETWORKDAYS.INTL(AE1,AF1,11)</f>
        <v>26</v>
      </c>
      <c r="AI1" s="35">
        <f>(AG1-AH1)</f>
        <v>4</v>
      </c>
      <c r="AJ1" s="36" t="s">
        <v>0</v>
      </c>
      <c r="AK1" s="33">
        <f>(AL1/CM14)</f>
        <v>318.72841015657457</v>
      </c>
      <c r="AL1" s="33">
        <f>COUNTIF($A$1,"1S-Kaptan-Üniversite")*($AB$1)
+COUNTIF($A$1,"1S-Kaptan-MYO")*($AB$2)
+COUNTIF($A$1,"1S-Kaptan-Lise")*($AB$3)
+COUNTIF($A$1,"1S-Kaptan-Ortaokul")*($AB$4)
+COUNTIF($A$1,"1S-Kaptan-İlkokul")*($AB$5)
+COUNTIF($A$1,"1S-Baş Makinist-Üniversite")*($AB$6)
+COUNTIF($A$1,"1S-Baş Makinist-MYO")*($AB$7)
+COUNTIF($A$1,"1S-Baş Makinist-Lise")*($AB$8)
+COUNTIF($A$1,"1S-Baş Makinist-Ortaokul")*($AB$9)
+COUNTIF($A$1,"1S-Baş Makinist-İlkokul")*($AB$10)
+COUNTIF($A$1,"1S-İkinci Kaptan-Üniversite")*($AB$11)
+COUNTIF($A$1,"1S-İkinci Kaptan-MYO")*($AB$12)
+COUNTIF($A$1,"1S-İkinci Kaptan-Lise")*($AB$13)
+COUNTIF($A$1,"1S-İkinci Kaptan-Ortaokul")*($AB$14)
+COUNTIF($A$1,"1S-İkinci Kaptan-İlkokul")*($AB$15)
+COUNTIF($A$1,"1S-Usta Gemici-Üniversite")*($AB$16)
+COUNTIF($A$1,"1S-Usta Gemici-MYO")*($AB$17)
+COUNTIF($A$1,"1S-Usta Gemici-Lise")*($AB$18)
+COUNTIF($A$1,"1S-Usta Gemici-Ortaokul")*($AB$19)
+COUNTIF($A$1,"1S-Usta Gemici-İlkokul")*($AB$20)
+COUNTIF($A$1,"1S-Yağcı-Üniversite")*($AB$21)
+COUNTIF($A$1,"1S-Yağcı-MYO")*($AB$22)
+COUNTIF($A$1,"1S-Yağcı-Lise")*($AB$23)
+COUNTIF($A$1,"1S-Yağcı-Ortaokul")*($AB$24)
+COUNTIF($A$1,"1S-Yağcı-İlkokul")*($AB$25)
+COUNTIF($A$1,"2S-Kaptan-Üniversite")*($AB$26)
+COUNTIF($A$1,"2S-Kaptan-MYO")*($AB$27)
+COUNTIF($A$1,"2S-Kaptan-Lise")*($AB$28)
+COUNTIF($A$1,"2S-Kaptan-Ortaokul")*($AB$29)
+COUNTIF($A$1,"2S-Kaptan-İlkokul")*($AB$30)
+COUNTIF($A$1,"2S-Baş Makinist-Üniversite")*($AB$31)
+COUNTIF($A$1,"2S-Baş Makinist-MYO")*($AB$32)
+COUNTIF($A$1,"2S-Baş Makinist-Lise")*($AB$33)
+COUNTIF($A$1,"2S-Baş Makinist-Ortaokul")*($AB$34)
+COUNTIF($A$1,"2S-Baş Makinist-İlkokul")*($AB$35)
+COUNTIF($A$1,"2S-İkinci Kaptan-Üniversite")*($AB$36)
+COUNTIF($A$1,"2S-İkinci Kaptan-MYO")*($AB$37)
+COUNTIF($A$1,"2S-İkinci Kaptan-Lise")*($AB$38)
+COUNTIF($A$1,"2S-İkinci Kaptan-Ortaokul")*($AB$39)
+COUNTIF($A$1,"2S-İkinci Kaptan-İlkokul")*($AB$40)
+COUNTIF($A$1,"2S-Usta Gemici-Üniversite")*($AB$41)
+COUNTIF($A$1,"2S-Usta Gemici-MYO")*($AB$42)
+COUNTIF($A$1,"2S-Usta Gemici-Lise")*($AB$43)
+COUNTIF($A$1,"2S-Usta Gemici-Ortaokul")*($AB$44)
+COUNTIF($A$1,"2S-Usta Gemici-İlkokul")*($AB$45)
+COUNTIF($A$1,"2S-Yağcı-Üniversite")*($AB$46)
+COUNTIF($A$1,"2S-Yağcı-MYO")*($AB$47)
+COUNTIF($A$1,"2S-Yağcı-Lise")*($AB$48)
+COUNTIF($A$1,"2S-Yağcı-Ortaokul")*($AB$49)
+COUNTIF($A$1,"2S-Yağcı-İlkokul")*($AB$50)
+COUNTIF($A$1,"2S-Gemici-Üniversite")*($AB$51)
+COUNTIF($A$1,"2S-Gemici-MYO")*($AB$52)
+COUNTIF($A$1,"2S-Gemici-Lise")*($AB$53)
+COUNTIF($A$1,"2S-Gemici-Ortaokul")*($AB$54)
+COUNTIF($A$1,"2S-Gemici-İlkokul")*($AB$55)
+COUNTIF($A$1,"2S-Gemi Salon Sorumlusu-Üniversite")*($AB$56)
+COUNTIF($A$1,"2S-Gemi Salon Sorumlusu-MYO")*($AB$57)
+COUNTIF($A$1,"2S-Gemi Salon Sorumlusu-Lise")*($AB$58)
+COUNTIF($A$1,"2S-Gemi Salon Sorumlusu-Ortaokul")*($AB$59)
+COUNTIF($A$1,"2S-Gemi Salon Sorumlusu-İlkokul")*($AB$60)</f>
        <v>268.5</v>
      </c>
      <c r="AM1" s="33">
        <f>(AN1/CM14)</f>
        <v>318.72841015657457</v>
      </c>
      <c r="AN1" s="33">
        <f>COUNTIF($A$1,"1S-Kaptan-Üniversite")*($AB$1)
+COUNTIF($A$1,"1S-Kaptan-MYO")*($AB$2)
+COUNTIF($A$1,"1S-Kaptan-Lise")*($AB$3)
+COUNTIF($A$1,"1S-Kaptan-Ortaokul")*($AB$4)
+COUNTIF($A$1,"1S-Kaptan-İlkokul")*($AB$5)
+COUNTIF($A$1,"1S-Baş Makinist-Üniversite")*($AB$6)
+COUNTIF($A$1,"1S-Baş Makinist-MYO")*($AB$7)
+COUNTIF($A$1,"1S-Baş Makinist-Lise")*($AB$8)
+COUNTIF($A$1,"1S-Baş Makinist-Ortaokul")*($AB$9)
+COUNTIF($A$1,"1S-Baş Makinist-İlkokul")*($AB$10)
+COUNTIF($A$1,"1S-İkinci Kaptan-Üniversite")*($AB$11)
+COUNTIF($A$1,"1S-İkinci Kaptan-MYO")*($AB$12)
+COUNTIF($A$1,"1S-İkinci Kaptan-Lise")*($AB$13)
+COUNTIF($A$1,"1S-İkinci Kaptan-Ortaokul")*($AB$14)
+COUNTIF($A$1,"1S-İkinci Kaptan-İlkokul")*($AB$15)
+COUNTIF($A$1,"1S-Usta Gemici-Üniversite")*($AB$16)
+COUNTIF($A$1,"1S-Usta Gemici-MYO")*($AB$17)
+COUNTIF($A$1,"1S-Usta Gemici-Lise")*($AB$18)
+COUNTIF($A$1,"1S-Usta Gemici-Ortaokul")*($AB$19)
+COUNTIF($A$1,"1S-Usta Gemici-İlkokul")*($AB$20)
+COUNTIF($A$1,"1S-Yağcı-Üniversite")*($AB$21)
+COUNTIF($A$1,"1S-Yağcı-MYO")*($AB$22)
+COUNTIF($A$1,"1S-Yağcı-Lise")*($AB$23)
+COUNTIF($A$1,"1S-Yağcı-Ortaokul")*($AB$24)
+COUNTIF($A$1,"1S-Yağcı-İlkokul")*($AB$25)
+COUNTIF($A$1,"2S-Kaptan-Üniversite")*($AB$26)
+COUNTIF($A$1,"2S-Kaptan-MYO")*($AB$27)
+COUNTIF($A$1,"2S-Kaptan-Lise")*($AB$28)
+COUNTIF($A$1,"2S-Kaptan-Ortaokul")*($AB$29)
+COUNTIF($A$1,"2S-Kaptan-İlkokul")*($AB$30)
+COUNTIF($A$1,"2S-Baş Makinist-Üniversite")*($AB$31)
+COUNTIF($A$1,"2S-Baş Makinist-MYO")*($AB$32)
+COUNTIF($A$1,"2S-Baş Makinist-Lise")*($AB$33)
+COUNTIF($A$1,"2S-Baş Makinist-Ortaokul")*($AB$34)
+COUNTIF($A$1,"2S-Baş Makinist-İlkokul")*($AB$35)
+COUNTIF($A$1,"2S-İkinci Kaptan-Üniversite")*($AB$36)
+COUNTIF($A$1,"2S-İkinci Kaptan-MYO")*($AB$37)
+COUNTIF($A$1,"2S-İkinci Kaptan-Lise")*($AB$38)
+COUNTIF($A$1,"2S-İkinci Kaptan-Ortaokul")*($AB$39)
+COUNTIF($A$1,"2S-İkinci Kaptan-İlkokul")*($AB$40)
+COUNTIF($A$1,"2S-Usta Gemici-Üniversite")*($AB$41)
+COUNTIF($A$1,"2S-Usta Gemici-MYO")*($AB$42)
+COUNTIF($A$1,"2S-Usta Gemici-Lise")*($AB$43)
+COUNTIF($A$1,"2S-Usta Gemici-Ortaokul")*($AB$44)
+COUNTIF($A$1,"2S-Usta Gemici-İlkokul")*($AB$45)
+COUNTIF($A$1,"2S-Yağcı-Üniversite")*($AB$46)
+COUNTIF($A$1,"2S-Yağcı-MYO")*($AB$47)
+COUNTIF($A$1,"2S-Yağcı-Lise")*($AB$48)
+COUNTIF($A$1,"2S-Yağcı-Ortaokul")*($AB$49)
+COUNTIF($A$1,"2S-Yağcı-İlkokul")*($AB$50)
+COUNTIF($A$1,"2S-Gemici-Üniversite")*($AB$51)
+COUNTIF($A$1,"2S-Gemici-MYO")*($AB$52)
+COUNTIF($A$1,"2S-Gemici-Lise")*($AB$53)
+COUNTIF($A$1,"2S-Gemici-Ortaokul")*($AB$54)
+COUNTIF($A$1,"2S-Gemici-İlkokul")*($AB$55)
+COUNTIF($A$1,"2S-Gemi Salon Sorumlusu-Üniversite")*($AB$56)
+COUNTIF($A$1,"2S-Gemi Salon Sorumlusu-MYO")*($AB$57)
+COUNTIF($A$1,"2S-Gemi Salon Sorumlusu-Lise")*($AB$58)
+COUNTIF($A$1,"2S-Gemi Salon Sorumlusu-Ortaokul")*($AB$59)
+COUNTIF($A$1,"2S-Gemi Salon Sorumlusu-İlkokul")*($AB$60)</f>
        <v>268.5</v>
      </c>
      <c r="AO1" s="33">
        <f>(AP1/CM14)</f>
        <v>318.72841015657457</v>
      </c>
      <c r="AP1" s="33">
        <f>COUNTIF($A$1,"1S-Kaptan-Üniversite")*($AB$1)
+COUNTIF($A$1,"1S-Kaptan-MYO")*($AB$2)
+COUNTIF($A$1,"1S-Kaptan-Lise")*($AB$3)
+COUNTIF($A$1,"1S-Kaptan-Ortaokul")*($AB$4)
+COUNTIF($A$1,"1S-Kaptan-İlkokul")*($AB$5)
+COUNTIF($A$1,"1S-Baş Makinist-Üniversite")*($AB$6)
+COUNTIF($A$1,"1S-Baş Makinist-MYO")*($AB$7)
+COUNTIF($A$1,"1S-Baş Makinist-Lise")*($AB$8)
+COUNTIF($A$1,"1S-Baş Makinist-Ortaokul")*($AB$9)
+COUNTIF($A$1,"1S-Baş Makinist-İlkokul")*($AB$10)
+COUNTIF($A$1,"1S-İkinci Kaptan-Üniversite")*($AB$11)
+COUNTIF($A$1,"1S-İkinci Kaptan-MYO")*($AB$12)
+COUNTIF($A$1,"1S-İkinci Kaptan-Lise")*($AB$13)
+COUNTIF($A$1,"1S-İkinci Kaptan-Ortaokul")*($AB$14)
+COUNTIF($A$1,"1S-İkinci Kaptan-İlkokul")*($AB$15)
+COUNTIF($A$1,"1S-Usta Gemici-Üniversite")*($AB$16)
+COUNTIF($A$1,"1S-Usta Gemici-MYO")*($AB$17)
+COUNTIF($A$1,"1S-Usta Gemici-Lise")*($AB$18)
+COUNTIF($A$1,"1S-Usta Gemici-Ortaokul")*($AB$19)
+COUNTIF($A$1,"1S-Usta Gemici-İlkokul")*($AB$20)
+COUNTIF($A$1,"1S-Yağcı-Üniversite")*($AB$21)
+COUNTIF($A$1,"1S-Yağcı-MYO")*($AB$22)
+COUNTIF($A$1,"1S-Yağcı-Lise")*($AB$23)
+COUNTIF($A$1,"1S-Yağcı-Ortaokul")*($AB$24)
+COUNTIF($A$1,"1S-Yağcı-İlkokul")*($AB$25)
+COUNTIF($A$1,"2S-Kaptan-Üniversite")*($AB$26)
+COUNTIF($A$1,"2S-Kaptan-MYO")*($AB$27)
+COUNTIF($A$1,"2S-Kaptan-Lise")*($AB$28)
+COUNTIF($A$1,"2S-Kaptan-Ortaokul")*($AB$29)
+COUNTIF($A$1,"2S-Kaptan-İlkokul")*($AB$30)
+COUNTIF($A$1,"2S-Baş Makinist-Üniversite")*($AB$31)
+COUNTIF($A$1,"2S-Baş Makinist-MYO")*($AB$32)
+COUNTIF($A$1,"2S-Baş Makinist-Lise")*($AB$33)
+COUNTIF($A$1,"2S-Baş Makinist-Ortaokul")*($AB$34)
+COUNTIF($A$1,"2S-Baş Makinist-İlkokul")*($AB$35)
+COUNTIF($A$1,"2S-İkinci Kaptan-Üniversite")*($AB$36)
+COUNTIF($A$1,"2S-İkinci Kaptan-MYO")*($AB$37)
+COUNTIF($A$1,"2S-İkinci Kaptan-Lise")*($AB$38)
+COUNTIF($A$1,"2S-İkinci Kaptan-Ortaokul")*($AB$39)
+COUNTIF($A$1,"2S-İkinci Kaptan-İlkokul")*($AB$40)
+COUNTIF($A$1,"2S-Usta Gemici-Üniversite")*($AB$41)
+COUNTIF($A$1,"2S-Usta Gemici-MYO")*($AB$42)
+COUNTIF($A$1,"2S-Usta Gemici-Lise")*($AB$43)
+COUNTIF($A$1,"2S-Usta Gemici-Ortaokul")*($AB$44)
+COUNTIF($A$1,"2S-Usta Gemici-İlkokul")*($AB$45)
+COUNTIF($A$1,"2S-Yağcı-Üniversite")*($AB$46)
+COUNTIF($A$1,"2S-Yağcı-MYO")*($AB$47)
+COUNTIF($A$1,"2S-Yağcı-Lise")*($AB$48)
+COUNTIF($A$1,"2S-Yağcı-Ortaokul")*($AB$49)
+COUNTIF($A$1,"2S-Yağcı-İlkokul")*($AB$50)
+COUNTIF($A$1,"2S-Gemici-Üniversite")*($AB$51)
+COUNTIF($A$1,"2S-Gemici-MYO")*($AB$52)
+COUNTIF($A$1,"2S-Gemici-Lise")*($AB$53)
+COUNTIF($A$1,"2S-Gemici-Ortaokul")*($AB$54)
+COUNTIF($A$1,"2S-Gemici-İlkokul")*($AB$55)
+COUNTIF($A$1,"2S-Gemi Salon Sorumlusu-Üniversite")*($AB$56)
+COUNTIF($A$1,"2S-Gemi Salon Sorumlusu-MYO")*($AB$57)
+COUNTIF($A$1,"2S-Gemi Salon Sorumlusu-Lise")*($AB$58)
+COUNTIF($A$1,"2S-Gemi Salon Sorumlusu-Ortaokul")*($AB$59)
+COUNTIF($A$1,"2S-Gemi Salon Sorumlusu-İlkokul")*($AB$60)</f>
        <v>268.5</v>
      </c>
      <c r="AQ1" s="36" t="s">
        <v>0</v>
      </c>
      <c r="AR1" s="37">
        <f>(AS1/CM14)</f>
        <v>9561.8523046972387</v>
      </c>
      <c r="AS1" s="38">
        <f>(AP1*AG1)</f>
        <v>8055</v>
      </c>
      <c r="AT1" s="38">
        <f t="shared" ref="AT1:AT12" si="1">(AU1/CM11)</f>
        <v>0</v>
      </c>
      <c r="AU1" s="38">
        <f t="shared" ref="AU1:AU12" si="2">(7.84*C15)</f>
        <v>0</v>
      </c>
      <c r="AV1" s="38">
        <f t="shared" ref="AV1:AV12" si="3">(AW1/CM11)</f>
        <v>2071.734666017735</v>
      </c>
      <c r="AW1" s="38">
        <f>(AP12/8*1.3*D15)</f>
        <v>1745.25</v>
      </c>
      <c r="AX1" s="38">
        <f t="shared" ref="AX1:AX12" si="4">(AY1/CM11)</f>
        <v>0</v>
      </c>
      <c r="AY1" s="38">
        <f>(AP12/8*2*E15)</f>
        <v>0</v>
      </c>
      <c r="AZ1" s="38">
        <f>COUNTIF($A$1,"1S-Kaptan-Üniversite")*(250/30*AP11)
+COUNTIF($A$1,"1S-Kaptan-MYO")*(250/30*AP11)
+COUNTIF($A$1,"1S-Kaptan-Lise")*(250/30*AP11)
+COUNTIF($A$1,"1S-Kaptan-Ortaokul")*(250/30*AP11)
+COUNTIF($A$1,"1S-Kaptan-İlkokul")*(250/30*AP11)
+COUNTIF($A$1,"1S-Baş Makinist-Üniversite")*(250/30*AP11)
+COUNTIF($A$1,"1S-Baş Makinist-MYO")*(250/30*AP11)
+COUNTIF($A$1,"1S-Baş Makinist-Lise")*(250/30*AP11)
+COUNTIF($A$1,"1S-Baş Makinist-Ortaokul")*(250/30*AP11)
+COUNTIF($A$1,"1S-Baş Makinist-İlkokul")*(250/30*AP11)
+COUNTIF($A$1,"1S-İkinci Kaptan-Üniversite")*(250/30*AP11)
+COUNTIF($A$1,"1S-İkinci Kaptan-MYO")*(250/30*AP11)
+COUNTIF($A$1,"1S-İkinci Kaptan-Lise")*(250/30*AP11)
+COUNTIF($A$1,"1S-İkinci Kaptan-Ortaokul")*(250/30*AP11)
+COUNTIF($A$1,"1S-İkinci Kaptan-İlkokul")*(250/30*AP11)
+COUNTIF($A$1,"2S-Kaptan-Üniversite")*(250/30*AP11)
+COUNTIF($A$1,"2S-Kaptan-MYO")*(250/30*AP11)
+COUNTIF($A$1,"2S-Kaptan-Lise")*(250/30*AP11)
+COUNTIF($A$1,"2S-Kaptan-Ortaokul")*(250/30*AP11)
+COUNTIF($A$1,"2S-Kaptan-İlkokul")*(250/30*AP11)
+COUNTIF($A$1,"2S-Baş Makinist-Üniversite")*(250/30*AP11)
+COUNTIF($A$1,"2S-Baş Makinist-MYO")*(250/30*AP11)
+COUNTIF($A$1,"2S-Baş Makinist-Lise")*(250/30*AP11)
+COUNTIF($A$1,"2S-Baş Makinist-Ortaokul")*(250/30*AP11)
+COUNTIF($A$1,"2S-Baş Makinist-İlkokul")*(250/30*AP11)
+COUNTIF($A$1,"2S-İkinci Kaptan-Üniversite")*(250/30*AP11)
+COUNTIF($A$1,"2S-İkinci Kaptan-MYO")*(250/30*AP11)
+COUNTIF($A$1,"2S-İkinci Kaptan-Lise")*(250/30*AP11)
+COUNTIF($A$1,"2S-İkinci Kaptan-Ortaokul")*(250/30*AP11)
+COUNTIF($A$1,"2S-İkinci Kaptan-İlkokul")*(250/30*AP11)</f>
        <v>250.00000000000003</v>
      </c>
      <c r="BA1" s="38">
        <f>(BB1/CM18)</f>
        <v>0</v>
      </c>
      <c r="BB1" s="38">
        <f>(18.71*G22)</f>
        <v>0</v>
      </c>
      <c r="BC1" s="36" t="s">
        <v>0</v>
      </c>
      <c r="BD1" s="38">
        <f t="shared" ref="BD1:BM21" si="5">COUNTIF($A$1,"1S-Kaptan-Üniversite")*(396.73)
+COUNTIF($A$1,"1S-Kaptan-MYO")*(396.73)
+COUNTIF($A$1,"1S-Kaptan-Lise")*(396.73)
+COUNTIF($A$1,"1S-Kaptan-Ortaokul")*(396.73)
+COUNTIF($A$1,"1S-Kaptan-İlkokul")*(396.73)
+COUNTIF($A$1,"1S-Baş Makinist-Üniversite")*(396.73)
+COUNTIF($A$1,"1S-Baş Makinist-MYO")*(396.73)
+COUNTIF($A$1,"1S-Baş Makinist-Lise")*(396.73)
+COUNTIF($A$1,"1S-Baş Makinist-Ortaokul")*(396.73)
+COUNTIF($A$1,"1S-Baş Makinist-İlkokul")*(396.73)
+COUNTIF($A$1,"1S-İkinci Kaptan-Üniversite")*(396.73)
+COUNTIF($A$1,"1S-İkinci Kaptan-MYO")*(396.73)
+COUNTIF($A$1,"1S-İkinci Kaptan-Lise")*(396.73)
+COUNTIF($A$1,"1S-İkinci Kaptan-Ortaokul")*(396.73)
+COUNTIF($A$1,"1S-İkinci Kaptan-İlkokul")*(396.73)
+COUNTIF($A$1,"2S-Kaptan-Üniversite")*(396.73)
+COUNTIF($A$1,"2S-Kaptan-MYO")*(396.73)
+COUNTIF($A$1,"2S-Kaptan-Lise")*(396.73)
+COUNTIF($A$1,"2S-Kaptan-Ortaokul")*(396.73)
+COUNTIF($A$1,"2S-Kaptan-İlkokul")*(396.73)
+COUNTIF($A$1,"2S-Baş Makinist-Üniversite")*(396.73)
+COUNTIF($A$1,"2S-Baş Makinist-MYO")*(396.73)
+COUNTIF($A$1,"2S-Baş Makinist-Lise")*(396.73)
+COUNTIF($A$1,"2S-Baş Makinist-Ortaokul")*(396.73)
+COUNTIF($A$1,"2S-Baş Makinist-İlkokul")*(396.73)
+COUNTIF($A$1,"2S-İkinci Kaptan-Üniversite")*(396.73)
+COUNTIF($A$1,"2S-İkinci Kaptan-MYO")*(396.73)
+COUNTIF($A$1,"2S-İkinci Kaptan-Lise")*(396.73)
+COUNTIF($A$1,"2S-İkinci Kaptan-Ortaokul")*(396.73)
+COUNTIF($A$1,"2S-İkinci Kaptan-İlkokul")*(396.73)</f>
        <v>396.73</v>
      </c>
      <c r="BE1" s="38">
        <f>(BD1-BD1*0.00759)</f>
        <v>393.71881930000001</v>
      </c>
      <c r="BF1" s="38">
        <f>(BD1)</f>
        <v>396.73</v>
      </c>
      <c r="BG1" s="39">
        <f>COUNTIF(H20,"Yok")*(0)
+COUNTIF(H20,"Askerlik Yardımı")*($BX$2/CM16)
+COUNTIF(H20,"Cenaze Yardımı (Anne-Baba)")*($BX$3+$BX$3*0.00759)
+COUNTIF(H20,"Cenaze Yardımı (Eş-Çocuk)")*($BX$4+$BX$4*0.00759)
+COUNTIF(H20,"Cenaze Yardımı (İşçi-İş Kazası Sonucu)")*($BX$5+$BX$5*0.00759)
+COUNTIF(H20,"Cenaze Yardımı (İşçi-Tabii Sebepler Sonucu)")*($BX$6+$BX$6*0.00759)
+COUNTIF(H20,"Çikolata Yardımı")*($BX$7+$BX$7*0.00759)
+COUNTIF(H20,"Doğal Afet Yardımı")*($BX$8+$BX$8*0.00759)
+COUNTIF(H20,"Doğum Yardımı (İşveren)")*($BX$9+$BX$9*0.00759)
+COUNTIF(H20,"Eğitim Yardımı (Çocuk-İlköğretim)")*($BX$10/CM16)
+COUNTIF(H20,"Eğitim Yardımı (Çocuk-Ortaöğretim)")*($BX$11/CM16)
+COUNTIF(H20,"Eğitim Yardımı (Çocuk-Lise)")*($BX$12/CM16)
+COUNTIF(H20,"Eğitim Yardımı (Çocuk-Yükseköğretim)")*($BX$13/CM16)
+COUNTIF(H20,"Eğitim Yardımı (İşçi-Lise)")*($BX$14/CM16)
+COUNTIF(H20,"Eğitim Yardımı (İşçi-Yükseköğretim)")*($BX$15/CM16)
+COUNTIF(H20,"Evlilik Yardımı")*($BX$16+$BX$16*0.00759)
+COUNTIF(H20,"Gıda Yardımı")*($BX$17/CM16)
+COUNTIF(H20,"İş Kazası veya Meslek Hastalığı Tazminatı")*($BX$18+$BX$18*0.00759)
+COUNTIF(H20,"Temizlik Yardımı")*($BX$19/CM16)
+COUNTIF(I20,"Yok")*(0)
+COUNTIF(I20,"Askerlik Yardımı")*($BX$2/CM16)
+COUNTIF(I20,"Cenaze Yardımı (Anne-Baba)")*($BX$3+$BX$3*0.00759)
+COUNTIF(I20,"Cenaze Yardımı (Eş-Çocuk)")*($BX$4+$BX$4*0.00759)
+COUNTIF(I20,"Cenaze Yardımı (İşçi-İş Kazası Sonucu)")*($BX$5+$BX$5*0.00759)
+COUNTIF(I20,"Cenaze Yardımı (İşçi-Tabii Sebepler Sonucu)")*($BX$6+$BX$6*0.00759)
+COUNTIF(I20,"Çikolata Yardımı")*($BX$7+$BX$7*0.00759)
+COUNTIF(I20,"Doğal Afet Yardımı")*($BX$8+$BX$8*0.00759)
+COUNTIF(I20,"Doğum Yardımı (İşveren)")*($BX$9+$BX$9*0.00759)
+COUNTIF(I20,"Eğitim Yardımı (Çocuk-İlköğretim)")*($BX$10/CM16)
+COUNTIF(I20,"Eğitim Yardımı (Çocuk-Ortaöğretim)")*($BX$11/CM16)
+COUNTIF(I20,"Eğitim Yardımı (Çocuk-Lise)")*($BX$12/CM16)
+COUNTIF(I20,"Eğitim Yardımı (Çocuk-Yükseköğretim)")*($BX$13/CM16)
+COUNTIF(I20,"Eğitim Yardımı (İşçi-Lise)")*($BX$14/CM16)
+COUNTIF(I20,"Eğitim Yardımı (İşçi-Yükseköğretim)")*($BX$15/CM16)
+COUNTIF(I20,"Evlilik Yardımı")*($BX$16+$BX$16*0.00759)
+COUNTIF(I20,"Gıda Yardımı")*($BX$17/CM16)
+COUNTIF(I20,"İş Kazası veya Meslek Hastalığı Tazminatı")*($BX$18+$BX$18*0.00759)
+COUNTIF(I20,"Temizlik Yardımı")*($BX$19/CM16)
+COUNTIF(J20,"Yok")*(0)
+COUNTIF(J20,"Askerlik Yardımı")*($BX$2/CM16)
+COUNTIF(J20,"Cenaze Yardımı (Anne-Baba)")*($BX$3+$BX$3*0.00759)
+COUNTIF(J20,"Cenaze Yardımı (Eş-Çocuk)")*($BX$4+$BX$4*0.00759)
+COUNTIF(J20,"Cenaze Yardımı (İşçi-İş Kazası Sonucu)")*($BX$5+$BX$5*0.00759)
+COUNTIF(J20,"Cenaze Yardımı (İşçi-Tabii Sebepler Sonucu)")*($BX$6+$BX$6*0.00759)
+COUNTIF(J20,"Çikolata Yardımı")*($BX$7+$BX$7*0.00759)
+COUNTIF(J20,"Doğal Afet Yardımı")*($BX$8+$BX$8*0.00759)
+COUNTIF(J20,"Doğum Yardımı (İşveren)")*($BX$9+$BX$9*0.00759)
+COUNTIF(J20,"Eğitim Yardımı (Çocuk-İlköğretim)")*($BX$10/CM16)
+COUNTIF(J20,"Eğitim Yardımı (Çocuk-Ortaöğretim)")*($BX$11/CM16)
+COUNTIF(J20,"Eğitim Yardımı (Çocuk-Lise)")*($BX$12/CM16)
+COUNTIF(J20,"Eğitim Yardımı (Çocuk-Yükseköğretim)")*($BX$13/CM16)
+COUNTIF(J20,"Eğitim Yardımı (İşçi-Lise)")*($BX$14/CM16)
+COUNTIF(J20,"Eğitim Yardımı (İşçi-Yükseköğretim)")*($BX$15/CM16)
+COUNTIF(J20,"Evlilik Yardımı")*($BX$16+$BX$16*0.00759)
+COUNTIF(J20,"Gıda Yardımı")*($BX$17/CM16)
+COUNTIF(J20,"İş Kazası veya Meslek Hastalığı Tazminatı")*($BX$18+$BX$18*0.00759)
+COUNTIF(J20,"Temizlik Yardımı")*($BX$19/CM16)</f>
        <v>0</v>
      </c>
      <c r="BH1" s="39">
        <f>COUNTIF(H20,"Yok")*(0)
+COUNTIF(H20,"Askerlik Yardımı")*(0)
+COUNTIF(H20,"Cenaze Yardımı (Anne-Baba)")*($BX$3+$BX$3*0.00759)
+COUNTIF(H20,"Cenaze Yardımı (Eş-Çocuk)")*($BX$4+$BX$4*0.00759)
+COUNTIF(H20,"Cenaze Yardımı (İşçi-İş Kazası Sonucu)")*($BX$5+$BX$5*0.00759)
+COUNTIF(H20,"Cenaze Yardımı (İşçi-Tabii Sebepler Sonucu)")*($BX$6+$BX$6*0.00759)
+COUNTIF(H20,"Çikolata Yardımı")*($BX$7+$BX$7*0.00759)
+COUNTIF(H20,"Doğal Afet Yardımı")*($BX$8+$BX$8*0.00759)
+COUNTIF(H20,"Doğum Yardımı (İşveren)")*($BX$9+$BX$9*0.00759)
+COUNTIF(H20,"Eğitim Yardımı (Çocuk-İlköğretim)")*(0)
+COUNTIF(H20,"Eğitim Yardımı (Çocuk-Ortaöğretim)")*(0)
+COUNTIF(H20,"Eğitim Yardımı (Çocuk-Lise)")*(0)
+COUNTIF(H20,"Eğitim Yardımı (Çocuk-Yükseköğretim)")*(0)
+COUNTIF(H20,"Eğitim Yardımı (İşçi-Lise)")*(0)
+COUNTIF(H20,"Eğitim Yardımı (İşçi-Yükseköğretim)")*(0)
+COUNTIF(H20,"Evlilik Yardımı")*($BX$16+$BX$16*0.00759)
+COUNTIF(H20,"Gıda Yardımı")*(0)
+COUNTIF(H20,"İş Kazası veya Meslek Hastalığı Tazminatı")*($BX$18+$BX$18*0.00759)
+COUNTIF(H20,"Temizlik Yardımı")*(0)
+COUNTIF(I20,"Yok")*(0)
+COUNTIF(I20,"Askerlik Yardımı")*(0)
+COUNTIF(I20,"Cenaze Yardımı (Anne-Baba)")*($BX$3+$BX$3*0.00759)
+COUNTIF(I20,"Cenaze Yardımı (Eş-Çocuk)")*($BX$4+$BX$4*0.00759)
+COUNTIF(I20,"Cenaze Yardımı (İşçi-İş Kazası Sonucu)")*($BX$5+$BX$5*0.00759)
+COUNTIF(I20,"Cenaze Yardımı (İşçi-Tabii Sebepler Sonucu)")*($BX$6+$BX$6*0.00759)
+COUNTIF(I20,"Çikolata Yardımı")*($BX$7+$BX$7*0.00759)
+COUNTIF(I20,"Doğal Afet Yardımı")*($BX$8+$BX$8*0.00759)
+COUNTIF(I20,"Doğum Yardımı (İşveren)")*($BX$9+$BX$9*0.00759)
+COUNTIF(I20,"Eğitim Yardımı (Çocuk-İlköğretim)")*(0)
+COUNTIF(I20,"Eğitim Yardımı (Çocuk-Ortaöğretim)")*(0)
+COUNTIF(I20,"Eğitim Yardımı (Çocuk-Lise)")*(0)
+COUNTIF(I20,"Eğitim Yardımı (Çocuk-Yükseköğretim)")*(0)
+COUNTIF(I20,"Eğitim Yardımı (İşçi-Lise)")*(0)
+COUNTIF(I20,"Eğitim Yardımı (İşçi-Yükseköğretim)")*(0)
+COUNTIF(I20,"Evlilik Yardımı")*($BX$16+$BX$16*0.00759)
+COUNTIF(I20,"Gıda Yardımı")*(0)
+COUNTIF(I20,"İş Kazası veya Meslek Hastalığı Tazminatı")*($BX$18+$BX$18*0.00759)
+COUNTIF(I20,"Temizlik Yardımı")*(0)
+COUNTIF(J20,"Yok")*(0)
+COUNTIF(J20,"Askerlik Yardımı")*(0)
+COUNTIF(J20,"Cenaze Yardımı (Anne-Baba)")*($BX$3+$BX$3*0.00759)
+COUNTIF(J20,"Cenaze Yardımı (Eş-Çocuk)")*($BX$4+$BX$4*0.00759)
+COUNTIF(J20,"Cenaze Yardımı (İşçi-İş Kazası Sonucu)")*($BX$5+$BX$5*0.00759)
+COUNTIF(J20,"Cenaze Yardımı (İşçi-Tabii Sebepler Sonucu)")*($BX$6+$BX$6*0.00759)
+COUNTIF(J20,"Çikolata Yardımı")*($BX$7+$BX$7*0.00759)
+COUNTIF(J20,"Doğal Afet Yardımı")*($BX$8+$BX$8*0.00759)
+COUNTIF(J20,"Doğum Yardımı (İşveren)")*($BX$9+$BX$9*0.00759)
+COUNTIF(J20,"Eğitim Yardımı (Çocuk-İlköğretim)")*(0)
+COUNTIF(J20,"Eğitim Yardımı (Çocuk-Ortaöğretim)")*(0)
+COUNTIF(J20,"Eğitim Yardımı (Çocuk-Lise)")*(0)
+COUNTIF(J20,"Eğitim Yardımı (Çocuk-Yükseköğretim)")*(0)
+COUNTIF(J20,"Eğitim Yardımı (İşçi-Lise)")*(0)
+COUNTIF(J20,"Eğitim Yardımı (İşçi-Yükseköğretim)")*(0)
+COUNTIF(J20,"Evlilik Yardımı")*($BX$16+$BX$16*0.00759)
+COUNTIF(J20,"Gıda Yardımı")*(0)
+COUNTIF(J20,"İş Kazası veya Meslek Hastalığı Tazminatı")*($BX$18+$BX$18*0.00759)
+COUNTIF(J20,"Temizlik Yardımı")*(0)</f>
        <v>0</v>
      </c>
      <c r="BI1" s="39">
        <f>COUNTIF(H20,"Yok")*(0)
+COUNTIF(H20,"Askerlik Yardımı")*($BX$2)
+COUNTIF(H20,"Cenaze Yardımı (Anne-Baba)")*($BX$3)
+COUNTIF(H20,"Cenaze Yardımı (Eş-Çocuk)")*($BX$4)
+COUNTIF(H20,"Cenaze Yardımı (İşçi-İş Kazası Sonucu)")*($BX$5)
+COUNTIF(H20,"Cenaze Yardımı (İşçi-Tabii Sebepler Sonucu)")*($BX$6)
+COUNTIF(H20,"Çikolata Yardımı")*($BX$7)
+COUNTIF(H20,"Doğal Afet Yardımı")*($BX$8)
+COUNTIF(H20,"Doğum Yardımı (İşveren)")*($BX$9)
+COUNTIF(H20,"Eğitim Yardımı (Çocuk-İlköğretim)")*($BX$10)
+COUNTIF(H20,"Eğitim Yardımı (Çocuk-Ortaöğretim)")*($BX$11)
+COUNTIF(H20,"Eğitim Yardımı (Çocuk-Lise)")*($BX$12)
+COUNTIF(H20,"Eğitim Yardımı (Çocuk-Yükseköğretim)")*($BX$13)
+COUNTIF(H20,"Eğitim Yardımı (İşçi-Lise)")*($BX$14)
+COUNTIF(H20,"Eğitim Yardımı (İşçi-Yükseköğretim)")*($BX$15)
+COUNTIF(H20,"Evlilik Yardımı")*($BX$16)
+COUNTIF(H20,"Gıda Yardımı")*($BX$17)
+COUNTIF(H20,"İş Kazası veya Meslek Hastalığı Tazminatı")*($BX$18)
+COUNTIF(H20,"Temizlik Yardımı")*($BX$19)
+COUNTIF(I20,"Yok")*(0)
+COUNTIF(I20,"Askerlik Yardımı")*($BX$2)
+COUNTIF(I20,"Cenaze Yardımı (Anne-Baba)")*($BX$3)
+COUNTIF(I20,"Cenaze Yardımı (Eş-Çocuk)")*($BX$4)
+COUNTIF(I20,"Cenaze Yardımı (İşçi-İş Kazası Sonucu)")*($BX$5)
+COUNTIF(I20,"Cenaze Yardımı (İşçi-Tabii Sebepler Sonucu)")*($BX$6)
+COUNTIF(I20,"Çikolata Yardımı")*($BX$7)
+COUNTIF(I20,"Doğal Afet Yardımı")*($BX$8)
+COUNTIF(I20,"Doğum Yardımı (İşveren)")*($BX$9)
+COUNTIF(I20,"Eğitim Yardımı (Çocuk-İlköğretim)")*($BX$10)
+COUNTIF(I20,"Eğitim Yardımı (Çocuk-Ortaöğretim)")*($BX$11)
+COUNTIF(I20,"Eğitim Yardımı (Çocuk-Lise)")*($BX$12)
+COUNTIF(I20,"Eğitim Yardımı (Çocuk-Yükseköğretim)")*($BX$13)
+COUNTIF(I20,"Eğitim Yardımı (İşçi-Lise)")*($BX$14)
+COUNTIF(I20,"Eğitim Yardımı (İşçi-Yükseköğretim)")*($BX$15)
+COUNTIF(I20,"Evlilik Yardımı")*($BX$16)
+COUNTIF(I20,"Gıda Yardımı")*($BX$17)
+COUNTIF(I20,"İş Kazası veya Meslek Hastalığı Tazminatı")*($BX$18)
+COUNTIF(I20,"Temizlik Yardımı")*($BX$19)
+COUNTIF(J20,"Yok")*(0)
+COUNTIF(J20,"Askerlik Yardımı")*($BX$2)
+COUNTIF(J20,"Cenaze Yardımı (Anne-Baba)")*($BX$3)
+COUNTIF(J20,"Cenaze Yardımı (Eş-Çocuk)")*($BX$4)
+COUNTIF(J20,"Cenaze Yardımı (İşçi-İş Kazası Sonucu)")*($BX$5)
+COUNTIF(J20,"Cenaze Yardımı (İşçi-Tabii Sebepler Sonucu)")*($BX$6)
+COUNTIF(J20,"Çikolata Yardımı")*($BX$7)
+COUNTIF(J20,"Doğal Afet Yardımı")*($BX$8)
+COUNTIF(J20,"Doğum Yardımı (İşveren)")*($BX$9)
+COUNTIF(J20,"Eğitim Yardımı (Çocuk-İlköğretim)")*($BX$10)
+COUNTIF(J20,"Eğitim Yardımı (Çocuk-Ortaöğretim)")*($BX$11)
+COUNTIF(J20,"Eğitim Yardımı (Çocuk-Lise)")*($BX$12)
+COUNTIF(J20,"Eğitim Yardımı (Çocuk-Yükseköğretim)")*($BX$13)
+COUNTIF(J20,"Eğitim Yardımı (İşçi-Lise)")*($BX$14)
+COUNTIF(J20,"Eğitim Yardımı (İşçi-Yükseköğretim)")*($BX$15)
+COUNTIF(J20,"Evlilik Yardımı")*($BX$16)
+COUNTIF(J20,"Gıda Yardımı")*($BX$17)
+COUNTIF(J20,"İş Kazası veya Meslek Hastalığı Tazminatı")*($BX$18)
+COUNTIF(J20,"Temizlik Yardımı")*($BX$19)</f>
        <v>0</v>
      </c>
      <c r="BJ1" s="40" t="s">
        <v>12</v>
      </c>
      <c r="BK1" s="38">
        <f>COUNTIF(BJ1,"Var")*(AK3*0.9*-1)</f>
        <v>-286.85556914091711</v>
      </c>
      <c r="BL1" s="38">
        <f>(BK1*-1)</f>
        <v>286.85556914091711</v>
      </c>
      <c r="BM1" s="41">
        <v>0.15</v>
      </c>
      <c r="BN1" s="33">
        <v>0</v>
      </c>
      <c r="BO1" s="38">
        <v>32000</v>
      </c>
      <c r="BP1" s="38">
        <v>0</v>
      </c>
      <c r="BW1" s="43" t="s">
        <v>1</v>
      </c>
      <c r="BX1" s="43" t="s">
        <v>88</v>
      </c>
      <c r="BY1" s="39">
        <f ca="1">(CS11*K15+BZ1)*-1</f>
        <v>0</v>
      </c>
      <c r="BZ1" s="39">
        <f ca="1">(AV1+AX1+AE4-AJ4)*(K15*-1)</f>
        <v>0</v>
      </c>
      <c r="CA1" s="39">
        <f ca="1">(BY1+BZ1)</f>
        <v>0</v>
      </c>
      <c r="CB1" s="38" t="s">
        <v>0</v>
      </c>
      <c r="CC1" s="38">
        <f>(5004)</f>
        <v>5004</v>
      </c>
      <c r="CD1" s="38">
        <f>(5004)</f>
        <v>5004</v>
      </c>
      <c r="CE1" s="38">
        <f>(CC1-CD1)</f>
        <v>0</v>
      </c>
      <c r="CF1" s="38">
        <f>(CE1*0.00759*-1)</f>
        <v>0</v>
      </c>
      <c r="CG1" s="38">
        <f>(0)</f>
        <v>0</v>
      </c>
      <c r="CH1" s="38">
        <f>(CC1-CG1)</f>
        <v>5004</v>
      </c>
      <c r="CI1" s="38">
        <f>(CH1*0.14*-1)</f>
        <v>-700.56000000000006</v>
      </c>
      <c r="CJ1" s="38">
        <f>(CH1*0.01*-1)</f>
        <v>-50.04</v>
      </c>
      <c r="CK1" s="44">
        <f t="shared" ref="CK1:CK6" si="6">IF(CC7=0,CB7,(VLOOKUP($CB7,$BM$1:$BP$5,2,0)-CA6)/BZ7*CB6+(CA7-VLOOKUP($CB7,$BM$1:$BP$5,2,0))/BZ7*CB7)</f>
        <v>0.15</v>
      </c>
      <c r="CL1" s="38">
        <f>(ROUND(BZ7*CK1,2)+VLOOKUP(CB7,$BM$1:$BP$5,4,0))</f>
        <v>638.01</v>
      </c>
      <c r="CM1" s="44">
        <f t="shared" ref="CM1:CM6" si="7">(100+(100*0.00759*-1)+(100*0.01*-1)+(100*0.01*-1)+(100+100*0.14*-1+100*0.01*-1)*CK1*-1)/100</f>
        <v>0.84491000000000005</v>
      </c>
      <c r="CN1" s="38">
        <f>CC1</f>
        <v>5004</v>
      </c>
      <c r="CO1" s="38">
        <f>CC1+CF1+CI1+CJ1</f>
        <v>4253.3999999999996</v>
      </c>
      <c r="CP1" s="38" t="s">
        <v>0</v>
      </c>
      <c r="CQ1" s="38">
        <f ca="1">(AR12+AT1+AV1+AX1+AE4+AU15+BA15+BD15+BG15+BJ15+BM15+AU20)</f>
        <v>14623.804454099629</v>
      </c>
      <c r="CR1" s="38">
        <f ca="1">(AR12+AT1+AV1+AX1+AE4+AU15+BA15+BD15+BG15+BJ15+BM15+AU20)</f>
        <v>14623.804454099629</v>
      </c>
      <c r="CS1" s="38">
        <f t="shared" ref="CS1:CS6" ca="1" si="8">(CR1*0.00759*-1)</f>
        <v>-110.99467580661619</v>
      </c>
      <c r="CT1" s="38">
        <f>(CD1)</f>
        <v>5004</v>
      </c>
      <c r="CU1" s="38">
        <f t="shared" ref="CU1:CU6" si="9">(CT1*0.00759*-1)</f>
        <v>-37.980360000000005</v>
      </c>
      <c r="CV1" s="38">
        <f t="shared" ref="CV1:CV6" ca="1" si="10">(CR1-CT1)</f>
        <v>9619.8044540996289</v>
      </c>
      <c r="CW1" s="38">
        <f t="shared" ref="CW1:CW6" ca="1" si="11">(CV1*0.00759*-1)</f>
        <v>-73.014315806616182</v>
      </c>
      <c r="DF1" s="40" t="s">
        <v>5</v>
      </c>
      <c r="DG1" s="40" t="s">
        <v>5</v>
      </c>
      <c r="DH1" s="40" t="s">
        <v>5</v>
      </c>
      <c r="DI1" s="54"/>
    </row>
    <row r="2" spans="1:113" ht="39.950000000000003" customHeight="1" x14ac:dyDescent="0.25">
      <c r="A2" s="76"/>
      <c r="B2" s="77"/>
      <c r="C2" s="67"/>
      <c r="D2" s="67"/>
      <c r="E2" s="78"/>
      <c r="F2" s="67"/>
      <c r="G2" s="67"/>
      <c r="H2" s="58"/>
      <c r="I2" s="58"/>
      <c r="J2" s="58"/>
      <c r="K2" s="67"/>
      <c r="L2" s="67"/>
      <c r="M2" s="67"/>
      <c r="N2" s="73"/>
      <c r="O2" s="18" t="s">
        <v>4</v>
      </c>
      <c r="P2" s="19">
        <f t="shared" si="0"/>
        <v>0</v>
      </c>
      <c r="Q2" s="19">
        <f>COUNTIF(R1,"Ocak")*(AU1)
+COUNTIF(R1,"Şubat")*(AU2)
+COUNTIF(R1,"Mart")*(AU3)
+COUNTIF(R1,"Nisan")*(AU4)
+COUNTIF(R1,"Mayıs")*(AU5)
+COUNTIF(R1,"Haziran")*(AU6)
+COUNTIF(R1,"Temmuz")*(AU7)
+COUNTIF(R1,"Ağustos")*(AU8)
+COUNTIF(R1,"Eylül")*(AU9)
+COUNTIF(R1,"Ekim")*(AU10)
+COUNTIF(R1,"Kasım")*(AU11)
+COUNTIF(R1,"Aralık")*(AU12)
+COUNTIF(R1,"Yıllık Toplam")*(AU13)
+COUNTIF(R1,"Yıllık Ortalama")*(AU14)</f>
        <v>0</v>
      </c>
      <c r="R2" s="72"/>
      <c r="S2" s="71"/>
      <c r="T2" s="24" t="s">
        <v>25</v>
      </c>
      <c r="U2" s="25" t="s">
        <v>151</v>
      </c>
      <c r="V2" s="60"/>
      <c r="W2" s="61"/>
      <c r="X2" s="63" t="str">
        <f>IF($V$1="Analık Hâli İzni",$U$1,
IF($V$1="Annelik İzni",$U$2,
IF($V$1="Babalık İzni",$U$3,
IF($V$1="Cenaze İzni",$U$4,
IF($V$1="Doğal Afet İzni",$U$5,
IF($V$1="Engelli Çocuk İzni",$U$6,
IF($V$1="Evlat Edinme İzni",$U$7,
IF($V$1="Evlilik İzni",$U$8,
IF($V$1="İş Arama İzni",$U$9,
IF($V$1="Mazeret İzni",$U$10,
IF($V$1="Süt İzni",$U$11,
IF($V$1="Ücretli Sendikal İzin ve Sendika Temsilci Sayısı",$U$12,
IF($V$1="Ücretli Yıllık İzin",$U$13,
IF($V$1="Yol İzni",$U$14))))))))))))))</f>
        <v>a) Hizmeti 6 ay olanlar için 15 iş günü ücretli yıllık izin verilir.
Hizmeti 1-5 yıl olanlar için 30 iş günü ücretli yıllık izin verilir.
Hizmeti 5-10 yıl olanlar için 30 iş günü ücretli yıllık izin verilir.
Hizmeti 10-15 yıl olanlar için 30 iş günü ücretli yıllık izin verilir.
Hizmeti 15 yıldan fazla olanlar için 30 iş günü ücretli yıllık izin verilir.
b) Aynı işveren emrinde veya aynı gemide bir takvim yılı içinde bir veya birkaç hizmet aktine dayanarak en az altı ay çalışmış olan gemiadamı, yıllık ücretli izine hak kazanır.
İzin süresi, altı aydan bir yıla kadar hizmeti olan gemiadamları için 15 günden ve bir yıl ve daha fazla hizmeti olanlar için yılda bir aydan az olamaz.
İzin işverenin uygun göreceği bir zamanda kullanılır. Bu haktan feragat edilemez.
Bir aylık izin, tarafların rızasiyle aynı yıl içinde kullanılmak suretiyle ikiye bölünebilir.
Gemiadamı, yıllık ücretli iznini yabancı bir memleket limanında veya hizmet aktinin yapılmış bulunduğu mahalden gayri bir yerde kullanmaya zorlanamaz.
Gemiadamı, dilerse, işveren veya işveren vekilinden ücretli izne ilişkin olarak 7 güne kadar ücretsiz yol izni de istiyebilir.
Gemiadamının hakettiği yıllık ücretli izni kullanmadan hizmet akti 14 üncü maddenin II, III ve IV üncü bentlerine göre bozulursa, işveren veya işveren vekili izin süresine ait ücreti, gemiadamına ödemek zorundadır.
(854 sayılı Deniz İş Kanunu / Madde 40)</v>
      </c>
      <c r="Y2" s="62"/>
      <c r="Z2" s="30"/>
      <c r="AA2" s="32" t="s">
        <v>92</v>
      </c>
      <c r="AB2" s="33">
        <v>294.25</v>
      </c>
      <c r="AC2" s="33">
        <v>294.25</v>
      </c>
      <c r="AD2" s="33">
        <v>294.25</v>
      </c>
      <c r="AE2" s="34">
        <f>(AF1+1)</f>
        <v>44682</v>
      </c>
      <c r="AF2" s="34">
        <f>EOMONTH(AE2,0)</f>
        <v>44712</v>
      </c>
      <c r="AG2" s="35">
        <f>DAY(AF2)</f>
        <v>31</v>
      </c>
      <c r="AH2" s="35">
        <f>NETWORKDAYS.INTL(AE2,AF2,11)</f>
        <v>26</v>
      </c>
      <c r="AI2" s="35">
        <f>(AG2-AH2)</f>
        <v>5</v>
      </c>
      <c r="AJ2" s="36" t="s">
        <v>0</v>
      </c>
      <c r="AK2" s="33">
        <f>(AL2/CM15)</f>
        <v>318.72841015657457</v>
      </c>
      <c r="AL2" s="33">
        <f>COUNTIF($A$1,"1S-Kaptan-Üniversite")*($AB$1)
+COUNTIF($A$1,"1S-Kaptan-MYO")*($AB$2)
+COUNTIF($A$1,"1S-Kaptan-Lise")*($AB$3)
+COUNTIF($A$1,"1S-Kaptan-Ortaokul")*($AB$4)
+COUNTIF($A$1,"1S-Kaptan-İlkokul")*($AB$5)
+COUNTIF($A$1,"1S-Baş Makinist-Üniversite")*($AB$6)
+COUNTIF($A$1,"1S-Baş Makinist-MYO")*($AB$7)
+COUNTIF($A$1,"1S-Baş Makinist-Lise")*($AB$8)
+COUNTIF($A$1,"1S-Baş Makinist-Ortaokul")*($AB$9)
+COUNTIF($A$1,"1S-Baş Makinist-İlkokul")*($AB$10)
+COUNTIF($A$1,"1S-İkinci Kaptan-Üniversite")*($AB$11)
+COUNTIF($A$1,"1S-İkinci Kaptan-MYO")*($AB$12)
+COUNTIF($A$1,"1S-İkinci Kaptan-Lise")*($AB$13)
+COUNTIF($A$1,"1S-İkinci Kaptan-Ortaokul")*($AB$14)
+COUNTIF($A$1,"1S-İkinci Kaptan-İlkokul")*($AB$15)
+COUNTIF($A$1,"1S-Usta Gemici-Üniversite")*($AB$16)
+COUNTIF($A$1,"1S-Usta Gemici-MYO")*($AB$17)
+COUNTIF($A$1,"1S-Usta Gemici-Lise")*($AB$18)
+COUNTIF($A$1,"1S-Usta Gemici-Ortaokul")*($AB$19)
+COUNTIF($A$1,"1S-Usta Gemici-İlkokul")*($AB$20)
+COUNTIF($A$1,"1S-Yağcı-Üniversite")*($AB$21)
+COUNTIF($A$1,"1S-Yağcı-MYO")*($AB$22)
+COUNTIF($A$1,"1S-Yağcı-Lise")*($AB$23)
+COUNTIF($A$1,"1S-Yağcı-Ortaokul")*($AB$24)
+COUNTIF($A$1,"1S-Yağcı-İlkokul")*($AB$25)
+COUNTIF($A$1,"2S-Kaptan-Üniversite")*($AB$26)
+COUNTIF($A$1,"2S-Kaptan-MYO")*($AB$27)
+COUNTIF($A$1,"2S-Kaptan-Lise")*($AB$28)
+COUNTIF($A$1,"2S-Kaptan-Ortaokul")*($AB$29)
+COUNTIF($A$1,"2S-Kaptan-İlkokul")*($AB$30)
+COUNTIF($A$1,"2S-Baş Makinist-Üniversite")*($AB$31)
+COUNTIF($A$1,"2S-Baş Makinist-MYO")*($AB$32)
+COUNTIF($A$1,"2S-Baş Makinist-Lise")*($AB$33)
+COUNTIF($A$1,"2S-Baş Makinist-Ortaokul")*($AB$34)
+COUNTIF($A$1,"2S-Baş Makinist-İlkokul")*($AB$35)
+COUNTIF($A$1,"2S-İkinci Kaptan-Üniversite")*($AB$36)
+COUNTIF($A$1,"2S-İkinci Kaptan-MYO")*($AB$37)
+COUNTIF($A$1,"2S-İkinci Kaptan-Lise")*($AB$38)
+COUNTIF($A$1,"2S-İkinci Kaptan-Ortaokul")*($AB$39)
+COUNTIF($A$1,"2S-İkinci Kaptan-İlkokul")*($AB$40)
+COUNTIF($A$1,"2S-Usta Gemici-Üniversite")*($AB$41)
+COUNTIF($A$1,"2S-Usta Gemici-MYO")*($AB$42)
+COUNTIF($A$1,"2S-Usta Gemici-Lise")*($AB$43)
+COUNTIF($A$1,"2S-Usta Gemici-Ortaokul")*($AB$44)
+COUNTIF($A$1,"2S-Usta Gemici-İlkokul")*($AB$45)
+COUNTIF($A$1,"2S-Yağcı-Üniversite")*($AB$46)
+COUNTIF($A$1,"2S-Yağcı-MYO")*($AB$47)
+COUNTIF($A$1,"2S-Yağcı-Lise")*($AB$48)
+COUNTIF($A$1,"2S-Yağcı-Ortaokul")*($AB$49)
+COUNTIF($A$1,"2S-Yağcı-İlkokul")*($AB$50)
+COUNTIF($A$1,"2S-Gemici-Üniversite")*($AB$51)
+COUNTIF($A$1,"2S-Gemici-MYO")*($AB$52)
+COUNTIF($A$1,"2S-Gemici-Lise")*($AB$53)
+COUNTIF($A$1,"2S-Gemici-Ortaokul")*($AB$54)
+COUNTIF($A$1,"2S-Gemici-İlkokul")*($AB$55)
+COUNTIF($A$1,"2S-Gemi Salon Sorumlusu-Üniversite")*($AB$56)
+COUNTIF($A$1,"2S-Gemi Salon Sorumlusu-MYO")*($AB$57)
+COUNTIF($A$1,"2S-Gemi Salon Sorumlusu-Lise")*($AB$58)
+COUNTIF($A$1,"2S-Gemi Salon Sorumlusu-Ortaokul")*($AB$59)
+COUNTIF($A$1,"2S-Gemi Salon Sorumlusu-İlkokul")*($AB$60)</f>
        <v>268.5</v>
      </c>
      <c r="AM2" s="33">
        <f>(AN2/CM15)</f>
        <v>318.72841015657457</v>
      </c>
      <c r="AN2" s="33">
        <f>COUNTIF($A$1,"1S-Kaptan-Üniversite")*($AB$1)
+COUNTIF($A$1,"1S-Kaptan-MYO")*($AB$2)
+COUNTIF($A$1,"1S-Kaptan-Lise")*($AB$3)
+COUNTIF($A$1,"1S-Kaptan-Ortaokul")*($AB$4)
+COUNTIF($A$1,"1S-Kaptan-İlkokul")*($AB$5)
+COUNTIF($A$1,"1S-Baş Makinist-Üniversite")*($AB$6)
+COUNTIF($A$1,"1S-Baş Makinist-MYO")*($AB$7)
+COUNTIF($A$1,"1S-Baş Makinist-Lise")*($AB$8)
+COUNTIF($A$1,"1S-Baş Makinist-Ortaokul")*($AB$9)
+COUNTIF($A$1,"1S-Baş Makinist-İlkokul")*($AB$10)
+COUNTIF($A$1,"1S-İkinci Kaptan-Üniversite")*($AB$11)
+COUNTIF($A$1,"1S-İkinci Kaptan-MYO")*($AB$12)
+COUNTIF($A$1,"1S-İkinci Kaptan-Lise")*($AB$13)
+COUNTIF($A$1,"1S-İkinci Kaptan-Ortaokul")*($AB$14)
+COUNTIF($A$1,"1S-İkinci Kaptan-İlkokul")*($AB$15)
+COUNTIF($A$1,"1S-Usta Gemici-Üniversite")*($AB$16)
+COUNTIF($A$1,"1S-Usta Gemici-MYO")*($AB$17)
+COUNTIF($A$1,"1S-Usta Gemici-Lise")*($AB$18)
+COUNTIF($A$1,"1S-Usta Gemici-Ortaokul")*($AB$19)
+COUNTIF($A$1,"1S-Usta Gemici-İlkokul")*($AB$20)
+COUNTIF($A$1,"1S-Yağcı-Üniversite")*($AB$21)
+COUNTIF($A$1,"1S-Yağcı-MYO")*($AB$22)
+COUNTIF($A$1,"1S-Yağcı-Lise")*($AB$23)
+COUNTIF($A$1,"1S-Yağcı-Ortaokul")*($AB$24)
+COUNTIF($A$1,"1S-Yağcı-İlkokul")*($AB$25)
+COUNTIF($A$1,"2S-Kaptan-Üniversite")*($AB$26)
+COUNTIF($A$1,"2S-Kaptan-MYO")*($AB$27)
+COUNTIF($A$1,"2S-Kaptan-Lise")*($AB$28)
+COUNTIF($A$1,"2S-Kaptan-Ortaokul")*($AB$29)
+COUNTIF($A$1,"2S-Kaptan-İlkokul")*($AB$30)
+COUNTIF($A$1,"2S-Baş Makinist-Üniversite")*($AB$31)
+COUNTIF($A$1,"2S-Baş Makinist-MYO")*($AB$32)
+COUNTIF($A$1,"2S-Baş Makinist-Lise")*($AB$33)
+COUNTIF($A$1,"2S-Baş Makinist-Ortaokul")*($AB$34)
+COUNTIF($A$1,"2S-Baş Makinist-İlkokul")*($AB$35)
+COUNTIF($A$1,"2S-İkinci Kaptan-Üniversite")*($AB$36)
+COUNTIF($A$1,"2S-İkinci Kaptan-MYO")*($AB$37)
+COUNTIF($A$1,"2S-İkinci Kaptan-Lise")*($AB$38)
+COUNTIF($A$1,"2S-İkinci Kaptan-Ortaokul")*($AB$39)
+COUNTIF($A$1,"2S-İkinci Kaptan-İlkokul")*($AB$40)
+COUNTIF($A$1,"2S-Usta Gemici-Üniversite")*($AB$41)
+COUNTIF($A$1,"2S-Usta Gemici-MYO")*($AB$42)
+COUNTIF($A$1,"2S-Usta Gemici-Lise")*($AB$43)
+COUNTIF($A$1,"2S-Usta Gemici-Ortaokul")*($AB$44)
+COUNTIF($A$1,"2S-Usta Gemici-İlkokul")*($AB$45)
+COUNTIF($A$1,"2S-Yağcı-Üniversite")*($AB$46)
+COUNTIF($A$1,"2S-Yağcı-MYO")*($AB$47)
+COUNTIF($A$1,"2S-Yağcı-Lise")*($AB$48)
+COUNTIF($A$1,"2S-Yağcı-Ortaokul")*($AB$49)
+COUNTIF($A$1,"2S-Yağcı-İlkokul")*($AB$50)
+COUNTIF($A$1,"2S-Gemici-Üniversite")*($AB$51)
+COUNTIF($A$1,"2S-Gemici-MYO")*($AB$52)
+COUNTIF($A$1,"2S-Gemici-Lise")*($AB$53)
+COUNTIF($A$1,"2S-Gemici-Ortaokul")*($AB$54)
+COUNTIF($A$1,"2S-Gemici-İlkokul")*($AB$55)
+COUNTIF($A$1,"2S-Gemi Salon Sorumlusu-Üniversite")*($AB$56)
+COUNTIF($A$1,"2S-Gemi Salon Sorumlusu-MYO")*($AB$57)
+COUNTIF($A$1,"2S-Gemi Salon Sorumlusu-Lise")*($AB$58)
+COUNTIF($A$1,"2S-Gemi Salon Sorumlusu-Ortaokul")*($AB$59)
+COUNTIF($A$1,"2S-Gemi Salon Sorumlusu-İlkokul")*($AB$60)</f>
        <v>268.5</v>
      </c>
      <c r="AO2" s="33">
        <f>(AP2/CM15)</f>
        <v>318.72841015657457</v>
      </c>
      <c r="AP2" s="33">
        <f>COUNTIF($A$1,"1S-Kaptan-Üniversite")*($AB$1)
+COUNTIF($A$1,"1S-Kaptan-MYO")*($AB$2)
+COUNTIF($A$1,"1S-Kaptan-Lise")*($AB$3)
+COUNTIF($A$1,"1S-Kaptan-Ortaokul")*($AB$4)
+COUNTIF($A$1,"1S-Kaptan-İlkokul")*($AB$5)
+COUNTIF($A$1,"1S-Baş Makinist-Üniversite")*($AB$6)
+COUNTIF($A$1,"1S-Baş Makinist-MYO")*($AB$7)
+COUNTIF($A$1,"1S-Baş Makinist-Lise")*($AB$8)
+COUNTIF($A$1,"1S-Baş Makinist-Ortaokul")*($AB$9)
+COUNTIF($A$1,"1S-Baş Makinist-İlkokul")*($AB$10)
+COUNTIF($A$1,"1S-İkinci Kaptan-Üniversite")*($AB$11)
+COUNTIF($A$1,"1S-İkinci Kaptan-MYO")*($AB$12)
+COUNTIF($A$1,"1S-İkinci Kaptan-Lise")*($AB$13)
+COUNTIF($A$1,"1S-İkinci Kaptan-Ortaokul")*($AB$14)
+COUNTIF($A$1,"1S-İkinci Kaptan-İlkokul")*($AB$15)
+COUNTIF($A$1,"1S-Usta Gemici-Üniversite")*($AB$16)
+COUNTIF($A$1,"1S-Usta Gemici-MYO")*($AB$17)
+COUNTIF($A$1,"1S-Usta Gemici-Lise")*($AB$18)
+COUNTIF($A$1,"1S-Usta Gemici-Ortaokul")*($AB$19)
+COUNTIF($A$1,"1S-Usta Gemici-İlkokul")*($AB$20)
+COUNTIF($A$1,"1S-Yağcı-Üniversite")*($AB$21)
+COUNTIF($A$1,"1S-Yağcı-MYO")*($AB$22)
+COUNTIF($A$1,"1S-Yağcı-Lise")*($AB$23)
+COUNTIF($A$1,"1S-Yağcı-Ortaokul")*($AB$24)
+COUNTIF($A$1,"1S-Yağcı-İlkokul")*($AB$25)
+COUNTIF($A$1,"2S-Kaptan-Üniversite")*($AB$26)
+COUNTIF($A$1,"2S-Kaptan-MYO")*($AB$27)
+COUNTIF($A$1,"2S-Kaptan-Lise")*($AB$28)
+COUNTIF($A$1,"2S-Kaptan-Ortaokul")*($AB$29)
+COUNTIF($A$1,"2S-Kaptan-İlkokul")*($AB$30)
+COUNTIF($A$1,"2S-Baş Makinist-Üniversite")*($AB$31)
+COUNTIF($A$1,"2S-Baş Makinist-MYO")*($AB$32)
+COUNTIF($A$1,"2S-Baş Makinist-Lise")*($AB$33)
+COUNTIF($A$1,"2S-Baş Makinist-Ortaokul")*($AB$34)
+COUNTIF($A$1,"2S-Baş Makinist-İlkokul")*($AB$35)
+COUNTIF($A$1,"2S-İkinci Kaptan-Üniversite")*($AB$36)
+COUNTIF($A$1,"2S-İkinci Kaptan-MYO")*($AB$37)
+COUNTIF($A$1,"2S-İkinci Kaptan-Lise")*($AB$38)
+COUNTIF($A$1,"2S-İkinci Kaptan-Ortaokul")*($AB$39)
+COUNTIF($A$1,"2S-İkinci Kaptan-İlkokul")*($AB$40)
+COUNTIF($A$1,"2S-Usta Gemici-Üniversite")*($AB$41)
+COUNTIF($A$1,"2S-Usta Gemici-MYO")*($AB$42)
+COUNTIF($A$1,"2S-Usta Gemici-Lise")*($AB$43)
+COUNTIF($A$1,"2S-Usta Gemici-Ortaokul")*($AB$44)
+COUNTIF($A$1,"2S-Usta Gemici-İlkokul")*($AB$45)
+COUNTIF($A$1,"2S-Yağcı-Üniversite")*($AB$46)
+COUNTIF($A$1,"2S-Yağcı-MYO")*($AB$47)
+COUNTIF($A$1,"2S-Yağcı-Lise")*($AB$48)
+COUNTIF($A$1,"2S-Yağcı-Ortaokul")*($AB$49)
+COUNTIF($A$1,"2S-Yağcı-İlkokul")*($AB$50)
+COUNTIF($A$1,"2S-Gemici-Üniversite")*($AB$51)
+COUNTIF($A$1,"2S-Gemici-MYO")*($AB$52)
+COUNTIF($A$1,"2S-Gemici-Lise")*($AB$53)
+COUNTIF($A$1,"2S-Gemici-Ortaokul")*($AB$54)
+COUNTIF($A$1,"2S-Gemici-İlkokul")*($AB$55)
+COUNTIF($A$1,"2S-Gemi Salon Sorumlusu-Üniversite")*($AB$56)
+COUNTIF($A$1,"2S-Gemi Salon Sorumlusu-MYO")*($AB$57)
+COUNTIF($A$1,"2S-Gemi Salon Sorumlusu-Lise")*($AB$58)
+COUNTIF($A$1,"2S-Gemi Salon Sorumlusu-Ortaokul")*($AB$59)
+COUNTIF($A$1,"2S-Gemi Salon Sorumlusu-İlkokul")*($AB$60)</f>
        <v>268.5</v>
      </c>
      <c r="AQ2" s="36" t="s">
        <v>0</v>
      </c>
      <c r="AR2" s="37">
        <f>(AS2/CM15)</f>
        <v>9880.5807148538115</v>
      </c>
      <c r="AS2" s="38">
        <f>(AP2*AG2)</f>
        <v>8323.5</v>
      </c>
      <c r="AT2" s="38">
        <f t="shared" si="1"/>
        <v>0</v>
      </c>
      <c r="AU2" s="38">
        <f t="shared" si="2"/>
        <v>0</v>
      </c>
      <c r="AV2" s="38">
        <f t="shared" si="3"/>
        <v>2071.734666017735</v>
      </c>
      <c r="AW2" s="38">
        <f>(AP13/8*1.3*D16)</f>
        <v>1745.25</v>
      </c>
      <c r="AX2" s="38">
        <f t="shared" si="4"/>
        <v>0</v>
      </c>
      <c r="AY2" s="38">
        <f>(AP13/8*2*E16)</f>
        <v>0</v>
      </c>
      <c r="AZ2" s="38">
        <f>COUNTIF($A$1,"1S-Kaptan-Üniversite")*(2000/30*AP15)
+COUNTIF($A$1,"1S-Kaptan-MYO")*(2000/30*AP15)
+COUNTIF($A$1,"1S-Kaptan-Lise")*(2000/30*AP15)
+COUNTIF($A$1,"1S-Kaptan-Ortaokul")*(2000/30*AP15)
+COUNTIF($A$1,"1S-Kaptan-İlkokul")*(2000/30*AP15)
+COUNTIF($A$1,"1S-Baş Makinist-Üniversite")*(2000/30*AP15)
+COUNTIF($A$1,"1S-Baş Makinist-MYO")*(2000/30*AP15)
+COUNTIF($A$1,"1S-Baş Makinist-Lise")*(2000/30*AP15)
+COUNTIF($A$1,"1S-Baş Makinist-Ortaokul")*(2000/30*AP15)
+COUNTIF($A$1,"1S-Baş Makinist-İlkokul")*(2000/30*AP15)
+COUNTIF($A$1,"1S-İkinci Kaptan-Üniversite")*(250/30*AP15)
+COUNTIF($A$1,"1S-İkinci Kaptan-MYO")*(250/30*AP15)
+COUNTIF($A$1,"1S-İkinci Kaptan-Lise")*(250/30*AP15)
+COUNTIF($A$1,"1S-İkinci Kaptan-Ortaokul")*(250/30*AP15)
+COUNTIF($A$1,"1S-İkinci Kaptan-İlkokul")*(250/30*AP15)
+COUNTIF($A$1,"2S-Kaptan-Üniversite")*(1525/30*AP15)
+COUNTIF($A$1,"2S-Kaptan-MYO")*(1525/30*AP15)
+COUNTIF($A$1,"2S-Kaptan-Lise")*(1525/30*AP15)
+COUNTIF($A$1,"2S-Kaptan-Ortaokul")*(1525/30*AP15)
+COUNTIF($A$1,"2S-Kaptan-İlkokul")*(1525/30*AP15)
+COUNTIF($A$1,"2S-Baş Makinist-Üniversite")*(1525/30*AP15)
+COUNTIF($A$1,"2S-Baş Makinist-MYO")*(1525/30*AP15)
+COUNTIF($A$1,"2S-Baş Makinist-Lise")*(1525/30*AP15)
+COUNTIF($A$1,"2S-Baş Makinist-Ortaokul")*(1525/30*AP15)
+COUNTIF($A$1,"2S-Baş Makinist-İlkokul")*(1525/30*AP15)
+COUNTIF($A$1,"2S-İkinci Kaptan-Üniversite")*(250/30*AP15)
+COUNTIF($A$1,"2S-İkinci Kaptan-MYO")*(250/30*AP15)
+COUNTIF($A$1,"2S-İkinci Kaptan-Lise")*(250/30*AP15)
+COUNTIF($A$1,"2S-İkinci Kaptan-Ortaokul")*(250/30*AP15)
+COUNTIF($A$1,"2S-İkinci Kaptan-İlkokul")*(250/30*AP15)</f>
        <v>1525</v>
      </c>
      <c r="BA2" s="38">
        <f>(BB2/CM19)</f>
        <v>0</v>
      </c>
      <c r="BB2" s="38">
        <f>(18.71*G23)</f>
        <v>0</v>
      </c>
      <c r="BC2" s="36" t="s">
        <v>0</v>
      </c>
      <c r="BD2" s="38">
        <f t="shared" si="5"/>
        <v>396.73</v>
      </c>
      <c r="BE2" s="38">
        <f>(BD2-BD2*0.00759)</f>
        <v>393.71881930000001</v>
      </c>
      <c r="BF2" s="38">
        <f>(BD2)</f>
        <v>396.73</v>
      </c>
      <c r="BG2" s="39">
        <f>COUNTIF(H21,"Yok")*(0)
+COUNTIF(H21,"Askerlik Yardımı")*($BX$2/CM17)
+COUNTIF(H21,"Cenaze Yardımı (Anne-Baba)")*($BX$3+$BX$3*0.00759)
+COUNTIF(H21,"Cenaze Yardımı (Eş-Çocuk)")*($BX$4+$BX$4*0.00759)
+COUNTIF(H21,"Cenaze Yardımı (İşçi-İş Kazası Sonucu)")*($BX$5+$BX$5*0.00759)
+COUNTIF(H21,"Cenaze Yardımı (İşçi-Tabii Sebepler Sonucu)")*($BX$6+$BX$6*0.00759)
+COUNTIF(H21,"Çikolata Yardımı")*($BX$7+$BX$7*0.00759)
+COUNTIF(H21,"Doğal Afet Yardımı")*($BX$8+$BX$8*0.00759)
+COUNTIF(H21,"Doğum Yardımı (İşveren)")*($BX$9+$BX$9*0.00759)
+COUNTIF(H21,"Eğitim Yardımı (Çocuk-İlköğretim)")*($BX$10/CM17)
+COUNTIF(H21,"Eğitim Yardımı (Çocuk-Ortaöğretim)")*($BX$11/CM17)
+COUNTIF(H21,"Eğitim Yardımı (Çocuk-Lise)")*($BX$12/CM17)
+COUNTIF(H21,"Eğitim Yardımı (Çocuk-Yükseköğretim)")*($BX$13/CM17)
+COUNTIF(H21,"Eğitim Yardımı (İşçi-Lise)")*($BX$14/CM17)
+COUNTIF(H21,"Eğitim Yardımı (İşçi-Yükseköğretim)")*($BX$15/CM17)
+COUNTIF(H21,"Evlilik Yardımı")*($BX$16+$BX$16*0.00759)
+COUNTIF(H21,"Gıda Yardımı")*($BX$17/CM17)
+COUNTIF(H21,"İş Kazası veya Meslek Hastalığı Tazminatı")*($BX$18+$BX$18*0.00759)
+COUNTIF(H21,"Temizlik Yardımı")*($BX$19/CM17)
+COUNTIF(I21,"Yok")*(0)
+COUNTIF(I21,"Askerlik Yardımı")*($BX$2/CM17)
+COUNTIF(I21,"Cenaze Yardımı (Anne-Baba)")*($BX$3+$BX$3*0.00759)
+COUNTIF(I21,"Cenaze Yardımı (Eş-Çocuk)")*($BX$4+$BX$4*0.00759)
+COUNTIF(I21,"Cenaze Yardımı (İşçi-İş Kazası Sonucu)")*($BX$5+$BX$5*0.00759)
+COUNTIF(I21,"Cenaze Yardımı (İşçi-Tabii Sebepler Sonucu)")*($BX$6+$BX$6*0.00759)
+COUNTIF(I21,"Çikolata Yardımı")*($BX$7+$BX$7*0.00759)
+COUNTIF(I21,"Doğal Afet Yardımı")*($BX$8+$BX$8*0.00759)
+COUNTIF(I21,"Doğum Yardımı (İşveren)")*($BX$9+$BX$9*0.00759)
+COUNTIF(I21,"Eğitim Yardımı (Çocuk-İlköğretim)")*($BX$10/CM17)
+COUNTIF(I21,"Eğitim Yardımı (Çocuk-Ortaöğretim)")*($BX$11/CM17)
+COUNTIF(I21,"Eğitim Yardımı (Çocuk-Lise)")*($BX$12/CM17)
+COUNTIF(I21,"Eğitim Yardımı (Çocuk-Yükseköğretim)")*($BX$13/CM17)
+COUNTIF(I21,"Eğitim Yardımı (İşçi-Lise)")*($BX$14/CM17)
+COUNTIF(I21,"Eğitim Yardımı (İşçi-Yükseköğretim)")*($BX$15/CM17)
+COUNTIF(I21,"Evlilik Yardımı")*($BX$16+$BX$16*0.00759)
+COUNTIF(I21,"Gıda Yardımı")*($BX$17/CM17)
+COUNTIF(I21,"İş Kazası veya Meslek Hastalığı Tazminatı")*($BX$18+$BX$18*0.00759)
+COUNTIF(I21,"Temizlik Yardımı")*($BX$19/CM17)
+COUNTIF(J21,"Yok")*(0)
+COUNTIF(J21,"Askerlik Yardımı")*($BX$2/CM17)
+COUNTIF(J21,"Cenaze Yardımı (Anne-Baba)")*($BX$3+$BX$3*0.00759)
+COUNTIF(J21,"Cenaze Yardımı (Eş-Çocuk)")*($BX$4+$BX$4*0.00759)
+COUNTIF(J21,"Cenaze Yardımı (İşçi-İş Kazası Sonucu)")*($BX$5+$BX$5*0.00759)
+COUNTIF(J21,"Cenaze Yardımı (İşçi-Tabii Sebepler Sonucu)")*($BX$6+$BX$6*0.00759)
+COUNTIF(J21,"Çikolata Yardımı")*($BX$7+$BX$7*0.00759)
+COUNTIF(J21,"Doğal Afet Yardımı")*($BX$8+$BX$8*0.00759)
+COUNTIF(J21,"Doğum Yardımı (İşveren)")*($BX$9+$BX$9*0.00759)
+COUNTIF(J21,"Eğitim Yardımı (Çocuk-İlköğretim)")*($BX$10/CM17)
+COUNTIF(J21,"Eğitim Yardımı (Çocuk-Ortaöğretim)")*($BX$11/CM17)
+COUNTIF(J21,"Eğitim Yardımı (Çocuk-Lise)")*($BX$12/CM17)
+COUNTIF(J21,"Eğitim Yardımı (Çocuk-Yükseköğretim)")*($BX$13/CM17)
+COUNTIF(J21,"Eğitim Yardımı (İşçi-Lise)")*($BX$14/CM17)
+COUNTIF(J21,"Eğitim Yardımı (İşçi-Yükseköğretim)")*($BX$15/CM17)
+COUNTIF(J21,"Evlilik Yardımı")*($BX$16+$BX$16*0.00759)
+COUNTIF(J21,"Gıda Yardımı")*($BX$17/CM17)
+COUNTIF(J21,"İş Kazası veya Meslek Hastalığı Tazminatı")*($BX$18+$BX$18*0.00759)
+COUNTIF(J21,"Temizlik Yardımı")*($BX$19/CM17)</f>
        <v>0</v>
      </c>
      <c r="BH2" s="39">
        <f>COUNTIF(H21,"Yok")*(0)
+COUNTIF(H21,"Askerlik Yardımı")*(0)
+COUNTIF(H21,"Cenaze Yardımı (Anne-Baba)")*($BX$3+$BX$3*0.00759)
+COUNTIF(H21,"Cenaze Yardımı (Eş-Çocuk)")*($BX$4+$BX$4*0.00759)
+COUNTIF(H21,"Cenaze Yardımı (İşçi-İş Kazası Sonucu)")*($BX$5+$BX$5*0.00759)
+COUNTIF(H21,"Cenaze Yardımı (İşçi-Tabii Sebepler Sonucu)")*($BX$6+$BX$6*0.00759)
+COUNTIF(H21,"Çikolata Yardımı")*($BX$7+$BX$7*0.00759)
+COUNTIF(H21,"Doğal Afet Yardımı")*($BX$8+$BX$8*0.00759)
+COUNTIF(H21,"Doğum Yardımı (İşveren)")*($BX$9+$BX$9*0.00759)
+COUNTIF(H21,"Eğitim Yardımı (Çocuk-İlköğretim)")*(0)
+COUNTIF(H21,"Eğitim Yardımı (Çocuk-Ortaöğretim)")*(0)
+COUNTIF(H21,"Eğitim Yardımı (Çocuk-Lise)")*(0)
+COUNTIF(H21,"Eğitim Yardımı (Çocuk-Yükseköğretim)")*(0)
+COUNTIF(H21,"Eğitim Yardımı (İşçi-Lise)")*(0)
+COUNTIF(H21,"Eğitim Yardımı (İşçi-Yükseköğretim)")*(0)
+COUNTIF(H21,"Evlilik Yardımı")*($BX$16+$BX$16*0.00759)
+COUNTIF(H21,"Gıda Yardımı")*(0)
+COUNTIF(H21,"İş Kazası veya Meslek Hastalığı Tazminatı")*($BX$18+$BX$18*0.00759)
+COUNTIF(H21,"Temizlik Yardımı")*(0)
+COUNTIF(I21,"Yok")*(0)
+COUNTIF(I21,"Askerlik Yardımı")*(0)
+COUNTIF(I21,"Cenaze Yardımı (Anne-Baba)")*($BX$3+$BX$3*0.00759)
+COUNTIF(I21,"Cenaze Yardımı (Eş-Çocuk)")*($BX$4+$BX$4*0.00759)
+COUNTIF(I21,"Cenaze Yardımı (İşçi-İş Kazası Sonucu)")*($BX$5+$BX$5*0.00759)
+COUNTIF(I21,"Cenaze Yardımı (İşçi-Tabii Sebepler Sonucu)")*($BX$6+$BX$6*0.00759)
+COUNTIF(I21,"Çikolata Yardımı")*($BX$7+$BX$7*0.00759)
+COUNTIF(I21,"Doğal Afet Yardımı")*($BX$8+$BX$8*0.00759)
+COUNTIF(I21,"Doğum Yardımı (İşveren)")*($BX$9+$BX$9*0.00759)
+COUNTIF(I21,"Eğitim Yardımı (Çocuk-İlköğretim)")*(0)
+COUNTIF(I21,"Eğitim Yardımı (Çocuk-Ortaöğretim)")*(0)
+COUNTIF(I21,"Eğitim Yardımı (Çocuk-Lise)")*(0)
+COUNTIF(I21,"Eğitim Yardımı (Çocuk-Yükseköğretim)")*(0)
+COUNTIF(I21,"Eğitim Yardımı (İşçi-Lise)")*(0)
+COUNTIF(I21,"Eğitim Yardımı (İşçi-Yükseköğretim)")*(0)
+COUNTIF(I21,"Evlilik Yardımı")*($BX$16+$BX$16*0.00759)
+COUNTIF(I21,"Gıda Yardımı")*(0)
+COUNTIF(I21,"İş Kazası veya Meslek Hastalığı Tazminatı")*($BX$18+$BX$18*0.00759)
+COUNTIF(I21,"Temizlik Yardımı")*(0)
+COUNTIF(J21,"Yok")*(0)
+COUNTIF(J21,"Askerlik Yardımı")*(0)
+COUNTIF(J21,"Cenaze Yardımı (Anne-Baba)")*($BX$3+$BX$3*0.00759)
+COUNTIF(J21,"Cenaze Yardımı (Eş-Çocuk)")*($BX$4+$BX$4*0.00759)
+COUNTIF(J21,"Cenaze Yardımı (İşçi-İş Kazası Sonucu)")*($BX$5+$BX$5*0.00759)
+COUNTIF(J21,"Cenaze Yardımı (İşçi-Tabii Sebepler Sonucu)")*($BX$6+$BX$6*0.00759)
+COUNTIF(J21,"Çikolata Yardımı")*($BX$7+$BX$7*0.00759)
+COUNTIF(J21,"Doğal Afet Yardımı")*($BX$8+$BX$8*0.00759)
+COUNTIF(J21,"Doğum Yardımı (İşveren)")*($BX$9+$BX$9*0.00759)
+COUNTIF(J21,"Eğitim Yardımı (Çocuk-İlköğretim)")*(0)
+COUNTIF(J21,"Eğitim Yardımı (Çocuk-Ortaöğretim)")*(0)
+COUNTIF(J21,"Eğitim Yardımı (Çocuk-Lise)")*(0)
+COUNTIF(J21,"Eğitim Yardımı (Çocuk-Yükseköğretim)")*(0)
+COUNTIF(J21,"Eğitim Yardımı (İşçi-Lise)")*(0)
+COUNTIF(J21,"Eğitim Yardımı (İşçi-Yükseköğretim)")*(0)
+COUNTIF(J21,"Evlilik Yardımı")*($BX$16+$BX$16*0.00759)
+COUNTIF(J21,"Gıda Yardımı")*(0)
+COUNTIF(J21,"İş Kazası veya Meslek Hastalığı Tazminatı")*($BX$18+$BX$18*0.00759)
+COUNTIF(J21,"Temizlik Yardımı")*(0)</f>
        <v>0</v>
      </c>
      <c r="BI2" s="39">
        <f>COUNTIF(H21,"Yok")*(0)
+COUNTIF(H21,"Askerlik Yardımı")*($BX$2)
+COUNTIF(H21,"Cenaze Yardımı (Anne-Baba)")*($BX$3)
+COUNTIF(H21,"Cenaze Yardımı (Eş-Çocuk)")*($BX$4)
+COUNTIF(H21,"Cenaze Yardımı (İşçi-İş Kazası Sonucu)")*($BX$5)
+COUNTIF(H21,"Cenaze Yardımı (İşçi-Tabii Sebepler Sonucu)")*($BX$6)
+COUNTIF(H21,"Çikolata Yardımı")*($BX$7)
+COUNTIF(H21,"Doğal Afet Yardımı")*($BX$8)
+COUNTIF(H21,"Doğum Yardımı (İşveren)")*($BX$9)
+COUNTIF(H21,"Eğitim Yardımı (Çocuk-İlköğretim)")*($BX$10)
+COUNTIF(H21,"Eğitim Yardımı (Çocuk-Ortaöğretim)")*($BX$11)
+COUNTIF(H21,"Eğitim Yardımı (Çocuk-Lise)")*($BX$12)
+COUNTIF(H21,"Eğitim Yardımı (Çocuk-Yükseköğretim)")*($BX$13)
+COUNTIF(H21,"Eğitim Yardımı (İşçi-Lise)")*($BX$14)
+COUNTIF(H21,"Eğitim Yardımı (İşçi-Yükseköğretim)")*($BX$15)
+COUNTIF(H21,"Evlilik Yardımı")*($BX$16)
+COUNTIF(H21,"Gıda Yardımı")*($BX$17)
+COUNTIF(H21,"İş Kazası veya Meslek Hastalığı Tazminatı")*($BX$18)
+COUNTIF(H21,"Temizlik Yardımı")*($BX$19)
+COUNTIF(I21,"Yok")*(0)
+COUNTIF(I21,"Askerlik Yardımı")*($BX$2)
+COUNTIF(I21,"Cenaze Yardımı (Anne-Baba)")*($BX$3)
+COUNTIF(I21,"Cenaze Yardımı (Eş-Çocuk)")*($BX$4)
+COUNTIF(I21,"Cenaze Yardımı (İşçi-İş Kazası Sonucu)")*($BX$5)
+COUNTIF(I21,"Cenaze Yardımı (İşçi-Tabii Sebepler Sonucu)")*($BX$6)
+COUNTIF(I21,"Çikolata Yardımı")*($BX$7)
+COUNTIF(I21,"Doğal Afet Yardımı")*($BX$8)
+COUNTIF(I21,"Doğum Yardımı (İşveren)")*($BX$9)
+COUNTIF(I21,"Eğitim Yardımı (Çocuk-İlköğretim)")*($BX$10)
+COUNTIF(I21,"Eğitim Yardımı (Çocuk-Ortaöğretim)")*($BX$11)
+COUNTIF(I21,"Eğitim Yardımı (Çocuk-Lise)")*($BX$12)
+COUNTIF(I21,"Eğitim Yardımı (Çocuk-Yükseköğretim)")*($BX$13)
+COUNTIF(I21,"Eğitim Yardımı (İşçi-Lise)")*($BX$14)
+COUNTIF(I21,"Eğitim Yardımı (İşçi-Yükseköğretim)")*($BX$15)
+COUNTIF(I21,"Evlilik Yardımı")*($BX$16)
+COUNTIF(I21,"Gıda Yardımı")*($BX$17)
+COUNTIF(I21,"İş Kazası veya Meslek Hastalığı Tazminatı")*($BX$18)
+COUNTIF(I21,"Temizlik Yardımı")*($BX$19)
+COUNTIF(J21,"Yok")*(0)
+COUNTIF(J21,"Askerlik Yardımı")*($BX$2)
+COUNTIF(J21,"Cenaze Yardımı (Anne-Baba)")*($BX$3)
+COUNTIF(J21,"Cenaze Yardımı (Eş-Çocuk)")*($BX$4)
+COUNTIF(J21,"Cenaze Yardımı (İşçi-İş Kazası Sonucu)")*($BX$5)
+COUNTIF(J21,"Cenaze Yardımı (İşçi-Tabii Sebepler Sonucu)")*($BX$6)
+COUNTIF(J21,"Çikolata Yardımı")*($BX$7)
+COUNTIF(J21,"Doğal Afet Yardımı")*($BX$8)
+COUNTIF(J21,"Doğum Yardımı (İşveren)")*($BX$9)
+COUNTIF(J21,"Eğitim Yardımı (Çocuk-İlköğretim)")*($BX$10)
+COUNTIF(J21,"Eğitim Yardımı (Çocuk-Ortaöğretim)")*($BX$11)
+COUNTIF(J21,"Eğitim Yardımı (Çocuk-Lise)")*($BX$12)
+COUNTIF(J21,"Eğitim Yardımı (Çocuk-Yükseköğretim)")*($BX$13)
+COUNTIF(J21,"Eğitim Yardımı (İşçi-Lise)")*($BX$14)
+COUNTIF(J21,"Eğitim Yardımı (İşçi-Yükseköğretim)")*($BX$15)
+COUNTIF(J21,"Evlilik Yardımı")*($BX$16)
+COUNTIF(J21,"Gıda Yardımı")*($BX$17)
+COUNTIF(J21,"İş Kazası veya Meslek Hastalığı Tazminatı")*($BX$18)
+COUNTIF(J21,"Temizlik Yardımı")*($BX$19)</f>
        <v>0</v>
      </c>
      <c r="BJ2" s="40" t="s">
        <v>12</v>
      </c>
      <c r="BK2" s="38">
        <f>COUNTIF(BJ2,"Var")*(AK21*0.9*-1)</f>
        <v>-286.85556914091711</v>
      </c>
      <c r="BL2" s="38">
        <f>(BK2*-1)</f>
        <v>286.85556914091711</v>
      </c>
      <c r="BM2" s="41">
        <v>0.2</v>
      </c>
      <c r="BN2" s="38">
        <f>$BO$1</f>
        <v>32000</v>
      </c>
      <c r="BO2" s="38">
        <v>70000</v>
      </c>
      <c r="BP2" s="38">
        <f>(BO1-BN1)*BM1+BP1</f>
        <v>4800</v>
      </c>
      <c r="BW2" s="45" t="s">
        <v>53</v>
      </c>
      <c r="BX2" s="39">
        <v>419.5</v>
      </c>
      <c r="BY2" s="39">
        <f ca="1">(CS12*K16+BZ2)*-1</f>
        <v>0</v>
      </c>
      <c r="BZ2" s="39">
        <f ca="1">(AV2+AX2+AE5-AJ5)*(K16*-1)</f>
        <v>0</v>
      </c>
      <c r="CA2" s="39">
        <f t="shared" ref="CA2:CA5" ca="1" si="12">(BY2+BZ2)</f>
        <v>0</v>
      </c>
      <c r="CB2" s="38" t="s">
        <v>0</v>
      </c>
      <c r="CC2" s="38">
        <f>(5004)</f>
        <v>5004</v>
      </c>
      <c r="CD2" s="38">
        <f>(5004)</f>
        <v>5004</v>
      </c>
      <c r="CE2" s="38">
        <f t="shared" ref="CE2:CE5" si="13">(CC2-CD2)</f>
        <v>0</v>
      </c>
      <c r="CF2" s="38">
        <f t="shared" ref="CF2:CF5" si="14">(CE2*0.00759*-1)</f>
        <v>0</v>
      </c>
      <c r="CG2" s="38">
        <f>(0)</f>
        <v>0</v>
      </c>
      <c r="CH2" s="38">
        <f t="shared" ref="CH2:CH5" si="15">(CC2-CG2)</f>
        <v>5004</v>
      </c>
      <c r="CI2" s="38">
        <f t="shared" ref="CI2:CI5" si="16">(CH2*0.14*-1)</f>
        <v>-700.56000000000006</v>
      </c>
      <c r="CJ2" s="38">
        <f t="shared" ref="CJ2:CJ5" si="17">(CH2*0.01*-1)</f>
        <v>-50.04</v>
      </c>
      <c r="CK2" s="44">
        <f t="shared" si="6"/>
        <v>0.15</v>
      </c>
      <c r="CL2" s="38">
        <f>(ROUND(BZ8*CK2,2))</f>
        <v>638.01</v>
      </c>
      <c r="CM2" s="44">
        <f t="shared" si="7"/>
        <v>0.84491000000000005</v>
      </c>
      <c r="CN2" s="38">
        <f>CC2</f>
        <v>5004</v>
      </c>
      <c r="CO2" s="38">
        <f>CC2+CF2+CI2+CJ2</f>
        <v>4253.3999999999996</v>
      </c>
      <c r="CP2" s="38" t="s">
        <v>0</v>
      </c>
      <c r="CQ2" s="38">
        <f ca="1">(AR13+AT2+AV2+AX2+AE5+AU16+BA16+BD16+BG16+BJ16+BM16+AU21)</f>
        <v>13667.619223629907</v>
      </c>
      <c r="CR2" s="38">
        <f ca="1">(AR13+AT2+AV2+AX2+AE5+AU16+BA16+BD16+BG16+BJ16+BM16+AU21)</f>
        <v>13667.619223629907</v>
      </c>
      <c r="CS2" s="38">
        <f t="shared" ca="1" si="8"/>
        <v>-103.73722990735099</v>
      </c>
      <c r="CT2" s="38">
        <f>(CD2)</f>
        <v>5004</v>
      </c>
      <c r="CU2" s="38">
        <f t="shared" si="9"/>
        <v>-37.980360000000005</v>
      </c>
      <c r="CV2" s="38">
        <f t="shared" ca="1" si="10"/>
        <v>8663.6192236299066</v>
      </c>
      <c r="CW2" s="38">
        <f t="shared" ca="1" si="11"/>
        <v>-65.756869907350989</v>
      </c>
      <c r="DF2" s="42">
        <v>0</v>
      </c>
      <c r="DG2" s="46">
        <v>0</v>
      </c>
      <c r="DH2" s="47">
        <v>0</v>
      </c>
      <c r="DI2" s="55"/>
    </row>
    <row r="3" spans="1:113" ht="39.950000000000003" customHeight="1" x14ac:dyDescent="0.25">
      <c r="A3" s="76"/>
      <c r="B3" s="77"/>
      <c r="C3" s="67"/>
      <c r="D3" s="67"/>
      <c r="E3" s="78"/>
      <c r="F3" s="67"/>
      <c r="G3" s="67"/>
      <c r="H3" s="58"/>
      <c r="I3" s="58"/>
      <c r="J3" s="58"/>
      <c r="K3" s="67"/>
      <c r="L3" s="67"/>
      <c r="M3" s="67"/>
      <c r="N3" s="73"/>
      <c r="O3" s="18" t="s">
        <v>55</v>
      </c>
      <c r="P3" s="19">
        <f t="shared" si="0"/>
        <v>21612.5</v>
      </c>
      <c r="Q3" s="19">
        <f>COUNTIF(R1,"Ocak")*(AW1)
+COUNTIF(R1,"Şubat")*(AW2)
+COUNTIF(R1,"Mart")*(AW3)
+COUNTIF(R1,"Nisan")*(AW4)
+COUNTIF(R1,"Mayıs")*(AW5)
+COUNTIF(R1,"Haziran")*(AW6)
+COUNTIF(R1,"Temmuz")*(AW7)
+COUNTIF(R1,"Ağustos")*(AW8)
+COUNTIF(R1,"Eylül")*(AW9)
+COUNTIF(R1,"Ekim")*(AW10)
+COUNTIF(R1,"Kasım")*(AW11)
+COUNTIF(R1,"Aralık")*(AW12)
+COUNTIF(R1,"Yıllık Toplam")*(AW13)
+COUNTIF(R1,"Yıllık Ortalama")*(AW14)</f>
        <v>21612.5</v>
      </c>
      <c r="R3" s="72"/>
      <c r="S3" s="71"/>
      <c r="T3" s="24" t="s">
        <v>27</v>
      </c>
      <c r="U3" s="26" t="s">
        <v>148</v>
      </c>
      <c r="V3" s="60"/>
      <c r="W3" s="61"/>
      <c r="X3" s="63"/>
      <c r="Y3" s="62"/>
      <c r="Z3" s="30"/>
      <c r="AA3" s="32" t="s">
        <v>78</v>
      </c>
      <c r="AB3" s="33">
        <v>294.25</v>
      </c>
      <c r="AC3" s="33">
        <v>294.25</v>
      </c>
      <c r="AD3" s="33">
        <v>294.25</v>
      </c>
      <c r="AE3" s="34">
        <f>(AF2+1)</f>
        <v>44713</v>
      </c>
      <c r="AF3" s="34">
        <f>EOMONTH(AE3,0)</f>
        <v>44742</v>
      </c>
      <c r="AG3" s="35">
        <f>DAY(AF3)</f>
        <v>30</v>
      </c>
      <c r="AH3" s="35">
        <f>NETWORKDAYS.INTL(AE3,AF3,11)</f>
        <v>26</v>
      </c>
      <c r="AI3" s="35">
        <f>(AG3-AH3)</f>
        <v>4</v>
      </c>
      <c r="AJ3" s="36" t="s">
        <v>0</v>
      </c>
      <c r="AK3" s="33">
        <f>(AL3/CM16)</f>
        <v>318.72841015657457</v>
      </c>
      <c r="AL3" s="33">
        <f>COUNTIF($A$1,"1S-Kaptan-Üniversite")*($AB$1)
+COUNTIF($A$1,"1S-Kaptan-MYO")*($AB$2)
+COUNTIF($A$1,"1S-Kaptan-Lise")*($AB$3)
+COUNTIF($A$1,"1S-Kaptan-Ortaokul")*($AB$4)
+COUNTIF($A$1,"1S-Kaptan-İlkokul")*($AB$5)
+COUNTIF($A$1,"1S-Baş Makinist-Üniversite")*($AB$6)
+COUNTIF($A$1,"1S-Baş Makinist-MYO")*($AB$7)
+COUNTIF($A$1,"1S-Baş Makinist-Lise")*($AB$8)
+COUNTIF($A$1,"1S-Baş Makinist-Ortaokul")*($AB$9)
+COUNTIF($A$1,"1S-Baş Makinist-İlkokul")*($AB$10)
+COUNTIF($A$1,"1S-İkinci Kaptan-Üniversite")*($AB$11)
+COUNTIF($A$1,"1S-İkinci Kaptan-MYO")*($AB$12)
+COUNTIF($A$1,"1S-İkinci Kaptan-Lise")*($AB$13)
+COUNTIF($A$1,"1S-İkinci Kaptan-Ortaokul")*($AB$14)
+COUNTIF($A$1,"1S-İkinci Kaptan-İlkokul")*($AB$15)
+COUNTIF($A$1,"1S-Usta Gemici-Üniversite")*($AB$16)
+COUNTIF($A$1,"1S-Usta Gemici-MYO")*($AB$17)
+COUNTIF($A$1,"1S-Usta Gemici-Lise")*($AB$18)
+COUNTIF($A$1,"1S-Usta Gemici-Ortaokul")*($AB$19)
+COUNTIF($A$1,"1S-Usta Gemici-İlkokul")*($AB$20)
+COUNTIF($A$1,"1S-Yağcı-Üniversite")*($AB$21)
+COUNTIF($A$1,"1S-Yağcı-MYO")*($AB$22)
+COUNTIF($A$1,"1S-Yağcı-Lise")*($AB$23)
+COUNTIF($A$1,"1S-Yağcı-Ortaokul")*($AB$24)
+COUNTIF($A$1,"1S-Yağcı-İlkokul")*($AB$25)
+COUNTIF($A$1,"2S-Kaptan-Üniversite")*($AB$26)
+COUNTIF($A$1,"2S-Kaptan-MYO")*($AB$27)
+COUNTIF($A$1,"2S-Kaptan-Lise")*($AB$28)
+COUNTIF($A$1,"2S-Kaptan-Ortaokul")*($AB$29)
+COUNTIF($A$1,"2S-Kaptan-İlkokul")*($AB$30)
+COUNTIF($A$1,"2S-Baş Makinist-Üniversite")*($AB$31)
+COUNTIF($A$1,"2S-Baş Makinist-MYO")*($AB$32)
+COUNTIF($A$1,"2S-Baş Makinist-Lise")*($AB$33)
+COUNTIF($A$1,"2S-Baş Makinist-Ortaokul")*($AB$34)
+COUNTIF($A$1,"2S-Baş Makinist-İlkokul")*($AB$35)
+COUNTIF($A$1,"2S-İkinci Kaptan-Üniversite")*($AB$36)
+COUNTIF($A$1,"2S-İkinci Kaptan-MYO")*($AB$37)
+COUNTIF($A$1,"2S-İkinci Kaptan-Lise")*($AB$38)
+COUNTIF($A$1,"2S-İkinci Kaptan-Ortaokul")*($AB$39)
+COUNTIF($A$1,"2S-İkinci Kaptan-İlkokul")*($AB$40)
+COUNTIF($A$1,"2S-Usta Gemici-Üniversite")*($AB$41)
+COUNTIF($A$1,"2S-Usta Gemici-MYO")*($AB$42)
+COUNTIF($A$1,"2S-Usta Gemici-Lise")*($AB$43)
+COUNTIF($A$1,"2S-Usta Gemici-Ortaokul")*($AB$44)
+COUNTIF($A$1,"2S-Usta Gemici-İlkokul")*($AB$45)
+COUNTIF($A$1,"2S-Yağcı-Üniversite")*($AB$46)
+COUNTIF($A$1,"2S-Yağcı-MYO")*($AB$47)
+COUNTIF($A$1,"2S-Yağcı-Lise")*($AB$48)
+COUNTIF($A$1,"2S-Yağcı-Ortaokul")*($AB$49)
+COUNTIF($A$1,"2S-Yağcı-İlkokul")*($AB$50)
+COUNTIF($A$1,"2S-Gemici-Üniversite")*($AB$51)
+COUNTIF($A$1,"2S-Gemici-MYO")*($AB$52)
+COUNTIF($A$1,"2S-Gemici-Lise")*($AB$53)
+COUNTIF($A$1,"2S-Gemici-Ortaokul")*($AB$54)
+COUNTIF($A$1,"2S-Gemici-İlkokul")*($AB$55)
+COUNTIF($A$1,"2S-Gemi Salon Sorumlusu-Üniversite")*($AB$56)
+COUNTIF($A$1,"2S-Gemi Salon Sorumlusu-MYO")*($AB$57)
+COUNTIF($A$1,"2S-Gemi Salon Sorumlusu-Lise")*($AB$58)
+COUNTIF($A$1,"2S-Gemi Salon Sorumlusu-Ortaokul")*($AB$59)
+COUNTIF($A$1,"2S-Gemi Salon Sorumlusu-İlkokul")*($AB$60)</f>
        <v>268.5</v>
      </c>
      <c r="AM3" s="33">
        <f>(AN3/CM16)</f>
        <v>318.72841015657457</v>
      </c>
      <c r="AN3" s="33">
        <f>COUNTIF($A$1,"1S-Kaptan-Üniversite")*($AB$1)
+COUNTIF($A$1,"1S-Kaptan-MYO")*($AB$2)
+COUNTIF($A$1,"1S-Kaptan-Lise")*($AB$3)
+COUNTIF($A$1,"1S-Kaptan-Ortaokul")*($AB$4)
+COUNTIF($A$1,"1S-Kaptan-İlkokul")*($AB$5)
+COUNTIF($A$1,"1S-Baş Makinist-Üniversite")*($AB$6)
+COUNTIF($A$1,"1S-Baş Makinist-MYO")*($AB$7)
+COUNTIF($A$1,"1S-Baş Makinist-Lise")*($AB$8)
+COUNTIF($A$1,"1S-Baş Makinist-Ortaokul")*($AB$9)
+COUNTIF($A$1,"1S-Baş Makinist-İlkokul")*($AB$10)
+COUNTIF($A$1,"1S-İkinci Kaptan-Üniversite")*($AB$11)
+COUNTIF($A$1,"1S-İkinci Kaptan-MYO")*($AB$12)
+COUNTIF($A$1,"1S-İkinci Kaptan-Lise")*($AB$13)
+COUNTIF($A$1,"1S-İkinci Kaptan-Ortaokul")*($AB$14)
+COUNTIF($A$1,"1S-İkinci Kaptan-İlkokul")*($AB$15)
+COUNTIF($A$1,"1S-Usta Gemici-Üniversite")*($AB$16)
+COUNTIF($A$1,"1S-Usta Gemici-MYO")*($AB$17)
+COUNTIF($A$1,"1S-Usta Gemici-Lise")*($AB$18)
+COUNTIF($A$1,"1S-Usta Gemici-Ortaokul")*($AB$19)
+COUNTIF($A$1,"1S-Usta Gemici-İlkokul")*($AB$20)
+COUNTIF($A$1,"1S-Yağcı-Üniversite")*($AB$21)
+COUNTIF($A$1,"1S-Yağcı-MYO")*($AB$22)
+COUNTIF($A$1,"1S-Yağcı-Lise")*($AB$23)
+COUNTIF($A$1,"1S-Yağcı-Ortaokul")*($AB$24)
+COUNTIF($A$1,"1S-Yağcı-İlkokul")*($AB$25)
+COUNTIF($A$1,"2S-Kaptan-Üniversite")*($AB$26)
+COUNTIF($A$1,"2S-Kaptan-MYO")*($AB$27)
+COUNTIF($A$1,"2S-Kaptan-Lise")*($AB$28)
+COUNTIF($A$1,"2S-Kaptan-Ortaokul")*($AB$29)
+COUNTIF($A$1,"2S-Kaptan-İlkokul")*($AB$30)
+COUNTIF($A$1,"2S-Baş Makinist-Üniversite")*($AB$31)
+COUNTIF($A$1,"2S-Baş Makinist-MYO")*($AB$32)
+COUNTIF($A$1,"2S-Baş Makinist-Lise")*($AB$33)
+COUNTIF($A$1,"2S-Baş Makinist-Ortaokul")*($AB$34)
+COUNTIF($A$1,"2S-Baş Makinist-İlkokul")*($AB$35)
+COUNTIF($A$1,"2S-İkinci Kaptan-Üniversite")*($AB$36)
+COUNTIF($A$1,"2S-İkinci Kaptan-MYO")*($AB$37)
+COUNTIF($A$1,"2S-İkinci Kaptan-Lise")*($AB$38)
+COUNTIF($A$1,"2S-İkinci Kaptan-Ortaokul")*($AB$39)
+COUNTIF($A$1,"2S-İkinci Kaptan-İlkokul")*($AB$40)
+COUNTIF($A$1,"2S-Usta Gemici-Üniversite")*($AB$41)
+COUNTIF($A$1,"2S-Usta Gemici-MYO")*($AB$42)
+COUNTIF($A$1,"2S-Usta Gemici-Lise")*($AB$43)
+COUNTIF($A$1,"2S-Usta Gemici-Ortaokul")*($AB$44)
+COUNTIF($A$1,"2S-Usta Gemici-İlkokul")*($AB$45)
+COUNTIF($A$1,"2S-Yağcı-Üniversite")*($AB$46)
+COUNTIF($A$1,"2S-Yağcı-MYO")*($AB$47)
+COUNTIF($A$1,"2S-Yağcı-Lise")*($AB$48)
+COUNTIF($A$1,"2S-Yağcı-Ortaokul")*($AB$49)
+COUNTIF($A$1,"2S-Yağcı-İlkokul")*($AB$50)
+COUNTIF($A$1,"2S-Gemici-Üniversite")*($AB$51)
+COUNTIF($A$1,"2S-Gemici-MYO")*($AB$52)
+COUNTIF($A$1,"2S-Gemici-Lise")*($AB$53)
+COUNTIF($A$1,"2S-Gemici-Ortaokul")*($AB$54)
+COUNTIF($A$1,"2S-Gemici-İlkokul")*($AB$55)
+COUNTIF($A$1,"2S-Gemi Salon Sorumlusu-Üniversite")*($AB$56)
+COUNTIF($A$1,"2S-Gemi Salon Sorumlusu-MYO")*($AB$57)
+COUNTIF($A$1,"2S-Gemi Salon Sorumlusu-Lise")*($AB$58)
+COUNTIF($A$1,"2S-Gemi Salon Sorumlusu-Ortaokul")*($AB$59)
+COUNTIF($A$1,"2S-Gemi Salon Sorumlusu-İlkokul")*($AB$60)</f>
        <v>268.5</v>
      </c>
      <c r="AO3" s="33">
        <f>(AP3/CM16)</f>
        <v>318.72841015657457</v>
      </c>
      <c r="AP3" s="33">
        <f>COUNTIF($A$1,"1S-Kaptan-Üniversite")*($AB$1)
+COUNTIF($A$1,"1S-Kaptan-MYO")*($AB$2)
+COUNTIF($A$1,"1S-Kaptan-Lise")*($AB$3)
+COUNTIF($A$1,"1S-Kaptan-Ortaokul")*($AB$4)
+COUNTIF($A$1,"1S-Kaptan-İlkokul")*($AB$5)
+COUNTIF($A$1,"1S-Baş Makinist-Üniversite")*($AB$6)
+COUNTIF($A$1,"1S-Baş Makinist-MYO")*($AB$7)
+COUNTIF($A$1,"1S-Baş Makinist-Lise")*($AB$8)
+COUNTIF($A$1,"1S-Baş Makinist-Ortaokul")*($AB$9)
+COUNTIF($A$1,"1S-Baş Makinist-İlkokul")*($AB$10)
+COUNTIF($A$1,"1S-İkinci Kaptan-Üniversite")*($AB$11)
+COUNTIF($A$1,"1S-İkinci Kaptan-MYO")*($AB$12)
+COUNTIF($A$1,"1S-İkinci Kaptan-Lise")*($AB$13)
+COUNTIF($A$1,"1S-İkinci Kaptan-Ortaokul")*($AB$14)
+COUNTIF($A$1,"1S-İkinci Kaptan-İlkokul")*($AB$15)
+COUNTIF($A$1,"1S-Usta Gemici-Üniversite")*($AB$16)
+COUNTIF($A$1,"1S-Usta Gemici-MYO")*($AB$17)
+COUNTIF($A$1,"1S-Usta Gemici-Lise")*($AB$18)
+COUNTIF($A$1,"1S-Usta Gemici-Ortaokul")*($AB$19)
+COUNTIF($A$1,"1S-Usta Gemici-İlkokul")*($AB$20)
+COUNTIF($A$1,"1S-Yağcı-Üniversite")*($AB$21)
+COUNTIF($A$1,"1S-Yağcı-MYO")*($AB$22)
+COUNTIF($A$1,"1S-Yağcı-Lise")*($AB$23)
+COUNTIF($A$1,"1S-Yağcı-Ortaokul")*($AB$24)
+COUNTIF($A$1,"1S-Yağcı-İlkokul")*($AB$25)
+COUNTIF($A$1,"2S-Kaptan-Üniversite")*($AB$26)
+COUNTIF($A$1,"2S-Kaptan-MYO")*($AB$27)
+COUNTIF($A$1,"2S-Kaptan-Lise")*($AB$28)
+COUNTIF($A$1,"2S-Kaptan-Ortaokul")*($AB$29)
+COUNTIF($A$1,"2S-Kaptan-İlkokul")*($AB$30)
+COUNTIF($A$1,"2S-Baş Makinist-Üniversite")*($AB$31)
+COUNTIF($A$1,"2S-Baş Makinist-MYO")*($AB$32)
+COUNTIF($A$1,"2S-Baş Makinist-Lise")*($AB$33)
+COUNTIF($A$1,"2S-Baş Makinist-Ortaokul")*($AB$34)
+COUNTIF($A$1,"2S-Baş Makinist-İlkokul")*($AB$35)
+COUNTIF($A$1,"2S-İkinci Kaptan-Üniversite")*($AB$36)
+COUNTIF($A$1,"2S-İkinci Kaptan-MYO")*($AB$37)
+COUNTIF($A$1,"2S-İkinci Kaptan-Lise")*($AB$38)
+COUNTIF($A$1,"2S-İkinci Kaptan-Ortaokul")*($AB$39)
+COUNTIF($A$1,"2S-İkinci Kaptan-İlkokul")*($AB$40)
+COUNTIF($A$1,"2S-Usta Gemici-Üniversite")*($AB$41)
+COUNTIF($A$1,"2S-Usta Gemici-MYO")*($AB$42)
+COUNTIF($A$1,"2S-Usta Gemici-Lise")*($AB$43)
+COUNTIF($A$1,"2S-Usta Gemici-Ortaokul")*($AB$44)
+COUNTIF($A$1,"2S-Usta Gemici-İlkokul")*($AB$45)
+COUNTIF($A$1,"2S-Yağcı-Üniversite")*($AB$46)
+COUNTIF($A$1,"2S-Yağcı-MYO")*($AB$47)
+COUNTIF($A$1,"2S-Yağcı-Lise")*($AB$48)
+COUNTIF($A$1,"2S-Yağcı-Ortaokul")*($AB$49)
+COUNTIF($A$1,"2S-Yağcı-İlkokul")*($AB$50)
+COUNTIF($A$1,"2S-Gemici-Üniversite")*($AB$51)
+COUNTIF($A$1,"2S-Gemici-MYO")*($AB$52)
+COUNTIF($A$1,"2S-Gemici-Lise")*($AB$53)
+COUNTIF($A$1,"2S-Gemici-Ortaokul")*($AB$54)
+COUNTIF($A$1,"2S-Gemici-İlkokul")*($AB$55)
+COUNTIF($A$1,"2S-Gemi Salon Sorumlusu-Üniversite")*($AB$56)
+COUNTIF($A$1,"2S-Gemi Salon Sorumlusu-MYO")*($AB$57)
+COUNTIF($A$1,"2S-Gemi Salon Sorumlusu-Lise")*($AB$58)
+COUNTIF($A$1,"2S-Gemi Salon Sorumlusu-Ortaokul")*($AB$59)
+COUNTIF($A$1,"2S-Gemi Salon Sorumlusu-İlkokul")*($AB$60)</f>
        <v>268.5</v>
      </c>
      <c r="AQ3" s="36" t="s">
        <v>0</v>
      </c>
      <c r="AR3" s="37">
        <f>(AS3/CM16)</f>
        <v>9561.8523046972387</v>
      </c>
      <c r="AS3" s="38">
        <f>(AP3*AG3)</f>
        <v>8055</v>
      </c>
      <c r="AT3" s="38">
        <f t="shared" si="1"/>
        <v>0</v>
      </c>
      <c r="AU3" s="38">
        <f t="shared" si="2"/>
        <v>0</v>
      </c>
      <c r="AV3" s="38">
        <f t="shared" si="3"/>
        <v>2071.734666017735</v>
      </c>
      <c r="AW3" s="38">
        <f>(AP14/8*1.3*D17)</f>
        <v>1745.25</v>
      </c>
      <c r="AX3" s="38">
        <f t="shared" si="4"/>
        <v>0</v>
      </c>
      <c r="AY3" s="38">
        <f>(AP14/8*2*E17)</f>
        <v>0</v>
      </c>
      <c r="AZ3" s="38">
        <f>COUNTIF($A$1,"1S-Kaptan-Üniversite")*(2000/30*AP16)
+COUNTIF($A$1,"1S-Kaptan-MYO")*(2000/30*AP16)
+COUNTIF($A$1,"1S-Kaptan-Lise")*(2000/30*AP16)
+COUNTIF($A$1,"1S-Kaptan-Ortaokul")*(2000/30*AP16)
+COUNTIF($A$1,"1S-Kaptan-İlkokul")*(2000/30*AP16)
+COUNTIF($A$1,"1S-Baş Makinist-Üniversite")*(2000/30*AP16)
+COUNTIF($A$1,"1S-Baş Makinist-MYO")*(2000/30*AP16)
+COUNTIF($A$1,"1S-Baş Makinist-Lise")*(2000/30*AP16)
+COUNTIF($A$1,"1S-Baş Makinist-Ortaokul")*(2000/30*AP16)
+COUNTIF($A$1,"1S-Baş Makinist-İlkokul")*(2000/30*AP16)
+COUNTIF($A$1,"1S-İkinci Kaptan-Üniversite")*(250/30*AP16)
+COUNTIF($A$1,"1S-İkinci Kaptan-MYO")*(250/30*AP16)
+COUNTIF($A$1,"1S-İkinci Kaptan-Lise")*(250/30*AP16)
+COUNTIF($A$1,"1S-İkinci Kaptan-Ortaokul")*(250/30*AP16)
+COUNTIF($A$1,"1S-İkinci Kaptan-İlkokul")*(250/30*AP16)
+COUNTIF($A$1,"2S-Kaptan-Üniversite")*(1525/30*AP16)
+COUNTIF($A$1,"2S-Kaptan-MYO")*(1525/30*AP16)
+COUNTIF($A$1,"2S-Kaptan-Lise")*(1525/30*AP16)
+COUNTIF($A$1,"2S-Kaptan-Ortaokul")*(1525/30*AP16)
+COUNTIF($A$1,"2S-Kaptan-İlkokul")*(1525/30*AP16)
+COUNTIF($A$1,"2S-Baş Makinist-Üniversite")*(1525/30*AP16)
+COUNTIF($A$1,"2S-Baş Makinist-MYO")*(1525/30*AP16)
+COUNTIF($A$1,"2S-Baş Makinist-Lise")*(1525/30*AP16)
+COUNTIF($A$1,"2S-Baş Makinist-Ortaokul")*(1525/30*AP16)
+COUNTIF($A$1,"2S-Baş Makinist-İlkokul")*(1525/30*AP16)
+COUNTIF($A$1,"2S-İkinci Kaptan-Üniversite")*(250/30*AP16)
+COUNTIF($A$1,"2S-İkinci Kaptan-MYO")*(250/30*AP16)
+COUNTIF($A$1,"2S-İkinci Kaptan-Lise")*(250/30*AP16)
+COUNTIF($A$1,"2S-İkinci Kaptan-Ortaokul")*(250/30*AP16)
+COUNTIF($A$1,"2S-İkinci Kaptan-İlkokul")*(250/30*AP16)</f>
        <v>1525</v>
      </c>
      <c r="BA3" s="38">
        <f>(BB3/CM20)</f>
        <v>0</v>
      </c>
      <c r="BB3" s="38">
        <f>(18.71*G24)</f>
        <v>0</v>
      </c>
      <c r="BC3" s="36" t="s">
        <v>0</v>
      </c>
      <c r="BD3" s="38">
        <f t="shared" si="5"/>
        <v>396.73</v>
      </c>
      <c r="BE3" s="38">
        <f>(BD3-BD3*0.00759)</f>
        <v>393.71881930000001</v>
      </c>
      <c r="BF3" s="38">
        <f>(BD3)</f>
        <v>396.73</v>
      </c>
      <c r="BG3" s="39">
        <f>COUNTIF(H22,"Yok")*(0)
+COUNTIF(H22,"Askerlik Yardımı")*($BX$2/CM18)
+COUNTIF(H22,"Cenaze Yardımı (Anne-Baba)")*($BX$3+$BX$3*0.00759)
+COUNTIF(H22,"Cenaze Yardımı (Eş-Çocuk)")*($BX$4+$BX$4*0.00759)
+COUNTIF(H22,"Cenaze Yardımı (İşçi-İş Kazası Sonucu)")*($BX$5+$BX$5*0.00759)
+COUNTIF(H22,"Cenaze Yardımı (İşçi-Tabii Sebepler Sonucu)")*($BX$6+$BX$6*0.00759)
+COUNTIF(H22,"Çikolata Yardımı")*($BX$7+$BX$7*0.00759)
+COUNTIF(H22,"Doğal Afet Yardımı")*($BX$8+$BX$8*0.00759)
+COUNTIF(H22,"Doğum Yardımı (İşveren)")*($BX$9+$BX$9*0.00759)
+COUNTIF(H22,"Eğitim Yardımı (Çocuk-İlköğretim)")*($BX$10/CM18)
+COUNTIF(H22,"Eğitim Yardımı (Çocuk-Ortaöğretim)")*($BX$11/CM18)
+COUNTIF(H22,"Eğitim Yardımı (Çocuk-Lise)")*($BX$12/CM18)
+COUNTIF(H22,"Eğitim Yardımı (Çocuk-Yükseköğretim)")*($BX$13/CM18)
+COUNTIF(H22,"Eğitim Yardımı (İşçi-Lise)")*($BX$14/CM18)
+COUNTIF(H22,"Eğitim Yardımı (İşçi-Yükseköğretim)")*($BX$15/CM18)
+COUNTIF(H22,"Evlilik Yardımı")*($BX$16+$BX$16*0.00759)
+COUNTIF(H22,"Gıda Yardımı")*($BX$17/CM18)
+COUNTIF(H22,"İş Kazası veya Meslek Hastalığı Tazminatı")*($BX$18+$BX$18*0.00759)
+COUNTIF(H22,"Temizlik Yardımı")*($BX$19/CM18)
+COUNTIF(I22,"Yok")*(0)
+COUNTIF(I22,"Askerlik Yardımı")*($BX$2/CM18)
+COUNTIF(I22,"Cenaze Yardımı (Anne-Baba)")*($BX$3+$BX$3*0.00759)
+COUNTIF(I22,"Cenaze Yardımı (Eş-Çocuk)")*($BX$4+$BX$4*0.00759)
+COUNTIF(I22,"Cenaze Yardımı (İşçi-İş Kazası Sonucu)")*($BX$5+$BX$5*0.00759)
+COUNTIF(I22,"Cenaze Yardımı (İşçi-Tabii Sebepler Sonucu)")*($BX$6+$BX$6*0.00759)
+COUNTIF(I22,"Çikolata Yardımı")*($BX$7+$BX$7*0.00759)
+COUNTIF(I22,"Doğal Afet Yardımı")*($BX$8+$BX$8*0.00759)
+COUNTIF(I22,"Doğum Yardımı (İşveren)")*($BX$9+$BX$9*0.00759)
+COUNTIF(I22,"Eğitim Yardımı (Çocuk-İlköğretim)")*($BX$10/CM18)
+COUNTIF(I22,"Eğitim Yardımı (Çocuk-Ortaöğretim)")*($BX$11/CM18)
+COUNTIF(I22,"Eğitim Yardımı (Çocuk-Lise)")*($BX$12/CM18)
+COUNTIF(I22,"Eğitim Yardımı (Çocuk-Yükseköğretim)")*($BX$13/CM18)
+COUNTIF(I22,"Eğitim Yardımı (İşçi-Lise)")*($BX$14/CM18)
+COUNTIF(I22,"Eğitim Yardımı (İşçi-Yükseköğretim)")*($BX$15/CM18)
+COUNTIF(I22,"Evlilik Yardımı")*($BX$16+$BX$16*0.00759)
+COUNTIF(I22,"Gıda Yardımı")*($BX$17/CM18)
+COUNTIF(I22,"İş Kazası veya Meslek Hastalığı Tazminatı")*($BX$18+$BX$18*0.00759)
+COUNTIF(I22,"Temizlik Yardımı")*($BX$19/CM18)
+COUNTIF(J22,"Yok")*(0)
+COUNTIF(J22,"Askerlik Yardımı")*($BX$2/CM18)
+COUNTIF(J22,"Cenaze Yardımı (Anne-Baba)")*($BX$3+$BX$3*0.00759)
+COUNTIF(J22,"Cenaze Yardımı (Eş-Çocuk)")*($BX$4+$BX$4*0.00759)
+COUNTIF(J22,"Cenaze Yardımı (İşçi-İş Kazası Sonucu)")*($BX$5+$BX$5*0.00759)
+COUNTIF(J22,"Cenaze Yardımı (İşçi-Tabii Sebepler Sonucu)")*($BX$6+$BX$6*0.00759)
+COUNTIF(J22,"Çikolata Yardımı")*($BX$7+$BX$7*0.00759)
+COUNTIF(J22,"Doğal Afet Yardımı")*($BX$8+$BX$8*0.00759)
+COUNTIF(J22,"Doğum Yardımı (İşveren)")*($BX$9+$BX$9*0.00759)
+COUNTIF(J22,"Eğitim Yardımı (Çocuk-İlköğretim)")*($BX$10/CM18)
+COUNTIF(J22,"Eğitim Yardımı (Çocuk-Ortaöğretim)")*($BX$11/CM18)
+COUNTIF(J22,"Eğitim Yardımı (Çocuk-Lise)")*($BX$12/CM18)
+COUNTIF(J22,"Eğitim Yardımı (Çocuk-Yükseköğretim)")*($BX$13/CM18)
+COUNTIF(J22,"Eğitim Yardımı (İşçi-Lise)")*($BX$14/CM18)
+COUNTIF(J22,"Eğitim Yardımı (İşçi-Yükseköğretim)")*($BX$15/CM18)
+COUNTIF(J22,"Evlilik Yardımı")*($BX$16+$BX$16*0.00759)
+COUNTIF(J22,"Gıda Yardımı")*($BX$17/CM18)
+COUNTIF(J22,"İş Kazası veya Meslek Hastalığı Tazminatı")*($BX$18+$BX$18*0.00759)
+COUNTIF(J22,"Temizlik Yardımı")*($BX$19/CM18)</f>
        <v>0</v>
      </c>
      <c r="BH3" s="39">
        <f>COUNTIF(H22,"Yok")*(0)
+COUNTIF(H22,"Askerlik Yardımı")*(0)
+COUNTIF(H22,"Cenaze Yardımı (Anne-Baba)")*($BX$3+$BX$3*0.00759)
+COUNTIF(H22,"Cenaze Yardımı (Eş-Çocuk)")*($BX$4+$BX$4*0.00759)
+COUNTIF(H22,"Cenaze Yardımı (İşçi-İş Kazası Sonucu)")*($BX$5+$BX$5*0.00759)
+COUNTIF(H22,"Cenaze Yardımı (İşçi-Tabii Sebepler Sonucu)")*($BX$6+$BX$6*0.00759)
+COUNTIF(H22,"Çikolata Yardımı")*($BX$7+$BX$7*0.00759)
+COUNTIF(H22,"Doğal Afet Yardımı")*($BX$8+$BX$8*0.00759)
+COUNTIF(H22,"Doğum Yardımı (İşveren)")*($BX$9+$BX$9*0.00759)
+COUNTIF(H22,"Eğitim Yardımı (Çocuk-İlköğretim)")*(0)
+COUNTIF(H22,"Eğitim Yardımı (Çocuk-Ortaöğretim)")*(0)
+COUNTIF(H22,"Eğitim Yardımı (Çocuk-Lise)")*(0)
+COUNTIF(H22,"Eğitim Yardımı (Çocuk-Yükseköğretim)")*(0)
+COUNTIF(H22,"Eğitim Yardımı (İşçi-Lise)")*(0)
+COUNTIF(H22,"Eğitim Yardımı (İşçi-Yükseköğretim)")*(0)
+COUNTIF(H22,"Evlilik Yardımı")*($BX$16+$BX$16*0.00759)
+COUNTIF(H22,"Gıda Yardımı")*(0)
+COUNTIF(H22,"İş Kazası veya Meslek Hastalığı Tazminatı")*($BX$18+$BX$18*0.00759)
+COUNTIF(H22,"Temizlik Yardımı")*(0)
+COUNTIF(I22,"Yok")*(0)
+COUNTIF(I22,"Askerlik Yardımı")*(0)
+COUNTIF(I22,"Cenaze Yardımı (Anne-Baba)")*($BX$3+$BX$3*0.00759)
+COUNTIF(I22,"Cenaze Yardımı (Eş-Çocuk)")*($BX$4+$BX$4*0.00759)
+COUNTIF(I22,"Cenaze Yardımı (İşçi-İş Kazası Sonucu)")*($BX$5+$BX$5*0.00759)
+COUNTIF(I22,"Cenaze Yardımı (İşçi-Tabii Sebepler Sonucu)")*($BX$6+$BX$6*0.00759)
+COUNTIF(I22,"Çikolata Yardımı")*($BX$7+$BX$7*0.00759)
+COUNTIF(I22,"Doğal Afet Yardımı")*($BX$8+$BX$8*0.00759)
+COUNTIF(I22,"Doğum Yardımı (İşveren)")*($BX$9+$BX$9*0.00759)
+COUNTIF(I22,"Eğitim Yardımı (Çocuk-İlköğretim)")*(0)
+COUNTIF(I22,"Eğitim Yardımı (Çocuk-Ortaöğretim)")*(0)
+COUNTIF(I22,"Eğitim Yardımı (Çocuk-Lise)")*(0)
+COUNTIF(I22,"Eğitim Yardımı (Çocuk-Yükseköğretim)")*(0)
+COUNTIF(I22,"Eğitim Yardımı (İşçi-Lise)")*(0)
+COUNTIF(I22,"Eğitim Yardımı (İşçi-Yükseköğretim)")*(0)
+COUNTIF(I22,"Evlilik Yardımı")*($BX$16+$BX$16*0.00759)
+COUNTIF(I22,"Gıda Yardımı")*(0)
+COUNTIF(I22,"İş Kazası veya Meslek Hastalığı Tazminatı")*($BX$18+$BX$18*0.00759)
+COUNTIF(I22,"Temizlik Yardımı")*(0)
+COUNTIF(J22,"Yok")*(0)
+COUNTIF(J22,"Askerlik Yardımı")*(0)
+COUNTIF(J22,"Cenaze Yardımı (Anne-Baba)")*($BX$3+$BX$3*0.00759)
+COUNTIF(J22,"Cenaze Yardımı (Eş-Çocuk)")*($BX$4+$BX$4*0.00759)
+COUNTIF(J22,"Cenaze Yardımı (İşçi-İş Kazası Sonucu)")*($BX$5+$BX$5*0.00759)
+COUNTIF(J22,"Cenaze Yardımı (İşçi-Tabii Sebepler Sonucu)")*($BX$6+$BX$6*0.00759)
+COUNTIF(J22,"Çikolata Yardımı")*($BX$7+$BX$7*0.00759)
+COUNTIF(J22,"Doğal Afet Yardımı")*($BX$8+$BX$8*0.00759)
+COUNTIF(J22,"Doğum Yardımı (İşveren)")*($BX$9+$BX$9*0.00759)
+COUNTIF(J22,"Eğitim Yardımı (Çocuk-İlköğretim)")*(0)
+COUNTIF(J22,"Eğitim Yardımı (Çocuk-Ortaöğretim)")*(0)
+COUNTIF(J22,"Eğitim Yardımı (Çocuk-Lise)")*(0)
+COUNTIF(J22,"Eğitim Yardımı (Çocuk-Yükseköğretim)")*(0)
+COUNTIF(J22,"Eğitim Yardımı (İşçi-Lise)")*(0)
+COUNTIF(J22,"Eğitim Yardımı (İşçi-Yükseköğretim)")*(0)
+COUNTIF(J22,"Evlilik Yardımı")*($BX$16+$BX$16*0.00759)
+COUNTIF(J22,"Gıda Yardımı")*(0)
+COUNTIF(J22,"İş Kazası veya Meslek Hastalığı Tazminatı")*($BX$18+$BX$18*0.00759)
+COUNTIF(J22,"Temizlik Yardımı")*(0)</f>
        <v>0</v>
      </c>
      <c r="BI3" s="39">
        <f>COUNTIF(H22,"Yok")*(0)
+COUNTIF(H22,"Askerlik Yardımı")*($BX$2)
+COUNTIF(H22,"Cenaze Yardımı (Anne-Baba)")*($BX$3)
+COUNTIF(H22,"Cenaze Yardımı (Eş-Çocuk)")*($BX$4)
+COUNTIF(H22,"Cenaze Yardımı (İşçi-İş Kazası Sonucu)")*($BX$5)
+COUNTIF(H22,"Cenaze Yardımı (İşçi-Tabii Sebepler Sonucu)")*($BX$6)
+COUNTIF(H22,"Çikolata Yardımı")*($BX$7)
+COUNTIF(H22,"Doğal Afet Yardımı")*($BX$8)
+COUNTIF(H22,"Doğum Yardımı (İşveren)")*($BX$9)
+COUNTIF(H22,"Eğitim Yardımı (Çocuk-İlköğretim)")*($BX$10)
+COUNTIF(H22,"Eğitim Yardımı (Çocuk-Ortaöğretim)")*($BX$11)
+COUNTIF(H22,"Eğitim Yardımı (Çocuk-Lise)")*($BX$12)
+COUNTIF(H22,"Eğitim Yardımı (Çocuk-Yükseköğretim)")*($BX$13)
+COUNTIF(H22,"Eğitim Yardımı (İşçi-Lise)")*($BX$14)
+COUNTIF(H22,"Eğitim Yardımı (İşçi-Yükseköğretim)")*($BX$15)
+COUNTIF(H22,"Evlilik Yardımı")*($BX$16)
+COUNTIF(H22,"Gıda Yardımı")*($BX$17)
+COUNTIF(H22,"İş Kazası veya Meslek Hastalığı Tazminatı")*($BX$18)
+COUNTIF(H22,"Temizlik Yardımı")*($BX$19)
+COUNTIF(I22,"Yok")*(0)
+COUNTIF(I22,"Askerlik Yardımı")*($BX$2)
+COUNTIF(I22,"Cenaze Yardımı (Anne-Baba)")*($BX$3)
+COUNTIF(I22,"Cenaze Yardımı (Eş-Çocuk)")*($BX$4)
+COUNTIF(I22,"Cenaze Yardımı (İşçi-İş Kazası Sonucu)")*($BX$5)
+COUNTIF(I22,"Cenaze Yardımı (İşçi-Tabii Sebepler Sonucu)")*($BX$6)
+COUNTIF(I22,"Çikolata Yardımı")*($BX$7)
+COUNTIF(I22,"Doğal Afet Yardımı")*($BX$8)
+COUNTIF(I22,"Doğum Yardımı (İşveren)")*($BX$9)
+COUNTIF(I22,"Eğitim Yardımı (Çocuk-İlköğretim)")*($BX$10)
+COUNTIF(I22,"Eğitim Yardımı (Çocuk-Ortaöğretim)")*($BX$11)
+COUNTIF(I22,"Eğitim Yardımı (Çocuk-Lise)")*($BX$12)
+COUNTIF(I22,"Eğitim Yardımı (Çocuk-Yükseköğretim)")*($BX$13)
+COUNTIF(I22,"Eğitim Yardımı (İşçi-Lise)")*($BX$14)
+COUNTIF(I22,"Eğitim Yardımı (İşçi-Yükseköğretim)")*($BX$15)
+COUNTIF(I22,"Evlilik Yardımı")*($BX$16)
+COUNTIF(I22,"Gıda Yardımı")*($BX$17)
+COUNTIF(I22,"İş Kazası veya Meslek Hastalığı Tazminatı")*($BX$18)
+COUNTIF(I22,"Temizlik Yardımı")*($BX$19)
+COUNTIF(J22,"Yok")*(0)
+COUNTIF(J22,"Askerlik Yardımı")*($BX$2)
+COUNTIF(J22,"Cenaze Yardımı (Anne-Baba)")*($BX$3)
+COUNTIF(J22,"Cenaze Yardımı (Eş-Çocuk)")*($BX$4)
+COUNTIF(J22,"Cenaze Yardımı (İşçi-İş Kazası Sonucu)")*($BX$5)
+COUNTIF(J22,"Cenaze Yardımı (İşçi-Tabii Sebepler Sonucu)")*($BX$6)
+COUNTIF(J22,"Çikolata Yardımı")*($BX$7)
+COUNTIF(J22,"Doğal Afet Yardımı")*($BX$8)
+COUNTIF(J22,"Doğum Yardımı (İşveren)")*($BX$9)
+COUNTIF(J22,"Eğitim Yardımı (Çocuk-İlköğretim)")*($BX$10)
+COUNTIF(J22,"Eğitim Yardımı (Çocuk-Ortaöğretim)")*($BX$11)
+COUNTIF(J22,"Eğitim Yardımı (Çocuk-Lise)")*($BX$12)
+COUNTIF(J22,"Eğitim Yardımı (Çocuk-Yükseköğretim)")*($BX$13)
+COUNTIF(J22,"Eğitim Yardımı (İşçi-Lise)")*($BX$14)
+COUNTIF(J22,"Eğitim Yardımı (İşçi-Yükseköğretim)")*($BX$15)
+COUNTIF(J22,"Evlilik Yardımı")*($BX$16)
+COUNTIF(J22,"Gıda Yardımı")*($BX$17)
+COUNTIF(J22,"İş Kazası veya Meslek Hastalığı Tazminatı")*($BX$18)
+COUNTIF(J22,"Temizlik Yardımı")*($BX$19)</f>
        <v>0</v>
      </c>
      <c r="BJ3" s="40" t="s">
        <v>12</v>
      </c>
      <c r="BK3" s="38">
        <f>COUNTIF(BJ3,"Var")*(AK22*0.9*-1)</f>
        <v>-286.85556914091711</v>
      </c>
      <c r="BL3" s="38">
        <f>(BK3*-1)</f>
        <v>286.85556914091711</v>
      </c>
      <c r="BM3" s="41">
        <v>0.27</v>
      </c>
      <c r="BN3" s="38">
        <f>$BO$2</f>
        <v>70000</v>
      </c>
      <c r="BO3" s="38">
        <v>250000</v>
      </c>
      <c r="BP3" s="38">
        <f>(BO2-BN2)*BM2+BP2</f>
        <v>12400</v>
      </c>
      <c r="BW3" s="45" t="s">
        <v>63</v>
      </c>
      <c r="BX3" s="39">
        <v>692.14</v>
      </c>
      <c r="BY3" s="39">
        <f ca="1">(CS13*K17+BZ3)*-1</f>
        <v>0</v>
      </c>
      <c r="BZ3" s="39">
        <f ca="1">(AV3+AX3+AE6-AJ6)*(K17*-1)</f>
        <v>0</v>
      </c>
      <c r="CA3" s="39">
        <f t="shared" ca="1" si="12"/>
        <v>0</v>
      </c>
      <c r="CB3" s="38" t="s">
        <v>0</v>
      </c>
      <c r="CC3" s="38">
        <f>(5004)</f>
        <v>5004</v>
      </c>
      <c r="CD3" s="38">
        <f>(5004)</f>
        <v>5004</v>
      </c>
      <c r="CE3" s="38">
        <f t="shared" si="13"/>
        <v>0</v>
      </c>
      <c r="CF3" s="38">
        <f t="shared" si="14"/>
        <v>0</v>
      </c>
      <c r="CG3" s="38">
        <f>(0)</f>
        <v>0</v>
      </c>
      <c r="CH3" s="38">
        <f t="shared" si="15"/>
        <v>5004</v>
      </c>
      <c r="CI3" s="38">
        <f t="shared" si="16"/>
        <v>-700.56000000000006</v>
      </c>
      <c r="CJ3" s="38">
        <f t="shared" si="17"/>
        <v>-50.04</v>
      </c>
      <c r="CK3" s="44">
        <f t="shared" si="6"/>
        <v>0.15</v>
      </c>
      <c r="CL3" s="38">
        <f>(ROUND(BZ9*CK3,2))</f>
        <v>638.01</v>
      </c>
      <c r="CM3" s="44">
        <f t="shared" si="7"/>
        <v>0.84491000000000005</v>
      </c>
      <c r="CN3" s="38">
        <f>CC3</f>
        <v>5004</v>
      </c>
      <c r="CO3" s="38">
        <f>CC3+CF3+CI3+CJ3</f>
        <v>4253.3999999999996</v>
      </c>
      <c r="CP3" s="38" t="s">
        <v>0</v>
      </c>
      <c r="CQ3" s="38">
        <f ca="1">(AR14+AT3+AV3+AX3+AE6+AU17+BA17+BD17+BG17+BJ17+BM17+AU22)</f>
        <v>24494.29533639687</v>
      </c>
      <c r="CR3" s="38">
        <f ca="1">(AR14+AT3+AV3+AX3+AE6+AU17+BA17+BD17+BG17+BJ17+BM17+AU22)</f>
        <v>24494.29533639687</v>
      </c>
      <c r="CS3" s="38">
        <f t="shared" ca="1" si="8"/>
        <v>-185.91170160325225</v>
      </c>
      <c r="CT3" s="38">
        <f>(CD3)</f>
        <v>5004</v>
      </c>
      <c r="CU3" s="38">
        <f t="shared" si="9"/>
        <v>-37.980360000000005</v>
      </c>
      <c r="CV3" s="38">
        <f t="shared" ca="1" si="10"/>
        <v>19490.29533639687</v>
      </c>
      <c r="CW3" s="38">
        <f t="shared" ca="1" si="11"/>
        <v>-147.93134160325226</v>
      </c>
      <c r="DF3" s="42">
        <v>1</v>
      </c>
      <c r="DG3" s="46">
        <v>0.5</v>
      </c>
      <c r="DH3" s="47">
        <v>0.03</v>
      </c>
      <c r="DI3" s="55"/>
    </row>
    <row r="4" spans="1:113" ht="39.950000000000003" customHeight="1" x14ac:dyDescent="0.25">
      <c r="A4" s="76"/>
      <c r="B4" s="77"/>
      <c r="C4" s="67"/>
      <c r="D4" s="67"/>
      <c r="E4" s="78"/>
      <c r="F4" s="67"/>
      <c r="G4" s="67"/>
      <c r="H4" s="58"/>
      <c r="I4" s="58"/>
      <c r="J4" s="58"/>
      <c r="K4" s="67"/>
      <c r="L4" s="67"/>
      <c r="M4" s="67"/>
      <c r="N4" s="73"/>
      <c r="O4" s="18" t="s">
        <v>6</v>
      </c>
      <c r="P4" s="19">
        <f t="shared" si="0"/>
        <v>0</v>
      </c>
      <c r="Q4" s="19">
        <f>COUNTIF(R1,"Ocak")*(AY1)
+COUNTIF(R1,"Şubat")*(AY2)
+COUNTIF(R1,"Mart")*(AY3)
+COUNTIF(R1,"Nisan")*(AY4)
+COUNTIF(R1,"Mayıs")*(AY5)
+COUNTIF(R1,"Haziran")*(AY6)
+COUNTIF(R1,"Temmuz")*(AY7)
+COUNTIF(R1,"Ağustos")*(AY8)
+COUNTIF(R1,"Eylül")*(AY9)
+COUNTIF(R1,"Ekim")*(AY10)
+COUNTIF(R1,"Kasım")*(AY11)
+COUNTIF(R1,"Aralık")*(AY12)
+COUNTIF(R1,"Yıllık Toplam")*(AY13)
+COUNTIF(R1,"Yıllık Ortalama")*(AY14)</f>
        <v>0</v>
      </c>
      <c r="R4" s="72"/>
      <c r="S4" s="71"/>
      <c r="T4" s="24" t="s">
        <v>47</v>
      </c>
      <c r="U4" s="19" t="s">
        <v>54</v>
      </c>
      <c r="V4" s="60"/>
      <c r="W4" s="61"/>
      <c r="X4" s="63"/>
      <c r="Y4" s="62"/>
      <c r="Z4" s="30"/>
      <c r="AA4" s="32" t="s">
        <v>93</v>
      </c>
      <c r="AB4" s="33">
        <v>285.37</v>
      </c>
      <c r="AC4" s="33">
        <v>285.37</v>
      </c>
      <c r="AD4" s="33">
        <v>285.37</v>
      </c>
      <c r="AE4" s="38">
        <f ca="1">(AG4+AI4*-1+AL4*-1+AM4*-1+AP4*-1)</f>
        <v>795.30132700000001</v>
      </c>
      <c r="AF4" s="38">
        <f>(35*F15)</f>
        <v>700</v>
      </c>
      <c r="AG4" s="38">
        <f>(AF4)</f>
        <v>700</v>
      </c>
      <c r="AH4" s="38">
        <f ca="1">ROUND((AG4+AI4*-1+AL4*-1+AM4*-1+AP4*-1),2)</f>
        <v>795.3</v>
      </c>
      <c r="AI4" s="38">
        <f ca="1">(AH4*0.00759*-1)</f>
        <v>-6.036327</v>
      </c>
      <c r="AJ4" s="38">
        <f>(10.01*F15)</f>
        <v>200.2</v>
      </c>
      <c r="AK4" s="38">
        <f ca="1">(AH4-AJ4)</f>
        <v>595.09999999999991</v>
      </c>
      <c r="AL4" s="38">
        <f ca="1">(AK4*0.14*-1)</f>
        <v>-83.313999999999993</v>
      </c>
      <c r="AM4" s="38">
        <f ca="1">(AK4*0.01*-1)</f>
        <v>-5.9509999999999996</v>
      </c>
      <c r="AN4" s="38">
        <f>(0)</f>
        <v>0</v>
      </c>
      <c r="AO4" s="38">
        <f ca="1">(AH4+AL4+AM4-AN4)</f>
        <v>706.03499999999997</v>
      </c>
      <c r="AP4" s="38">
        <f>(0)</f>
        <v>0</v>
      </c>
      <c r="AT4" s="38">
        <f t="shared" si="1"/>
        <v>0</v>
      </c>
      <c r="AU4" s="38">
        <f t="shared" si="2"/>
        <v>0</v>
      </c>
      <c r="AV4" s="38">
        <f t="shared" si="3"/>
        <v>2071.734666017735</v>
      </c>
      <c r="AW4" s="38">
        <f>(AP1/8*1.3*D18)</f>
        <v>1745.25</v>
      </c>
      <c r="AX4" s="38">
        <f t="shared" si="4"/>
        <v>0</v>
      </c>
      <c r="AY4" s="38">
        <f>(AP1/8*2*E18)</f>
        <v>0</v>
      </c>
      <c r="AZ4" s="38">
        <f>COUNTIF($A$1,"1S-Kaptan-Üniversite")*(2000/30*AP17)
+COUNTIF($A$1,"1S-Kaptan-MYO")*(2000/30*AP17)
+COUNTIF($A$1,"1S-Kaptan-Lise")*(2000/30*AP17)
+COUNTIF($A$1,"1S-Kaptan-Ortaokul")*(2000/30*AP17)
+COUNTIF($A$1,"1S-Kaptan-İlkokul")*(2000/30*AP17)
+COUNTIF($A$1,"1S-Baş Makinist-Üniversite")*(2000/30*AP17)
+COUNTIF($A$1,"1S-Baş Makinist-MYO")*(2000/30*AP17)
+COUNTIF($A$1,"1S-Baş Makinist-Lise")*(2000/30*AP17)
+COUNTIF($A$1,"1S-Baş Makinist-Ortaokul")*(2000/30*AP17)
+COUNTIF($A$1,"1S-Baş Makinist-İlkokul")*(2000/30*AP17)
+COUNTIF($A$1,"1S-İkinci Kaptan-Üniversite")*(250/30*AP17)
+COUNTIF($A$1,"1S-İkinci Kaptan-MYO")*(250/30*AP17)
+COUNTIF($A$1,"1S-İkinci Kaptan-Lise")*(250/30*AP17)
+COUNTIF($A$1,"1S-İkinci Kaptan-Ortaokul")*(250/30*AP17)
+COUNTIF($A$1,"1S-İkinci Kaptan-İlkokul")*(250/30*AP17)
+COUNTIF($A$1,"2S-Kaptan-Üniversite")*(1525/30*AP17)
+COUNTIF($A$1,"2S-Kaptan-MYO")*(1525/30*AP17)
+COUNTIF($A$1,"2S-Kaptan-Lise")*(1525/30*AP17)
+COUNTIF($A$1,"2S-Kaptan-Ortaokul")*(1525/30*AP17)
+COUNTIF($A$1,"2S-Kaptan-İlkokul")*(1525/30*AP17)
+COUNTIF($A$1,"2S-Baş Makinist-Üniversite")*(1525/30*AP17)
+COUNTIF($A$1,"2S-Baş Makinist-MYO")*(1525/30*AP17)
+COUNTIF($A$1,"2S-Baş Makinist-Lise")*(1525/30*AP17)
+COUNTIF($A$1,"2S-Baş Makinist-Ortaokul")*(1525/30*AP17)
+COUNTIF($A$1,"2S-Baş Makinist-İlkokul")*(1525/30*AP17)
+COUNTIF($A$1,"2S-İkinci Kaptan-Üniversite")*(250/30*AP17)
+COUNTIF($A$1,"2S-İkinci Kaptan-MYO")*(250/30*AP17)
+COUNTIF($A$1,"2S-İkinci Kaptan-Lise")*(250/30*AP17)
+COUNTIF($A$1,"2S-İkinci Kaptan-Ortaokul")*(250/30*AP17)
+COUNTIF($A$1,"2S-İkinci Kaptan-İlkokul")*(250/30*AP17)</f>
        <v>1525</v>
      </c>
      <c r="BA4" s="38">
        <f>(BB4/CM21)</f>
        <v>0</v>
      </c>
      <c r="BB4" s="38">
        <f>(18.71*G25)</f>
        <v>0</v>
      </c>
      <c r="BC4" s="36" t="s">
        <v>0</v>
      </c>
      <c r="BD4" s="38">
        <f t="shared" si="5"/>
        <v>396.73</v>
      </c>
      <c r="BE4" s="38">
        <f>(BD4-BD4*0.00759)</f>
        <v>393.71881930000001</v>
      </c>
      <c r="BF4" s="38">
        <f>(BD4)</f>
        <v>396.73</v>
      </c>
      <c r="BG4" s="39">
        <f>COUNTIF(H23,"Yok")*(0)
+COUNTIF(H23,"Askerlik Yardımı")*($BX$2/CM19)
+COUNTIF(H23,"Cenaze Yardımı (Anne-Baba)")*($BX$3+$BX$3*0.00759)
+COUNTIF(H23,"Cenaze Yardımı (Eş-Çocuk)")*($BX$4+$BX$4*0.00759)
+COUNTIF(H23,"Cenaze Yardımı (İşçi-İş Kazası Sonucu)")*($BX$5+$BX$5*0.00759)
+COUNTIF(H23,"Cenaze Yardımı (İşçi-Tabii Sebepler Sonucu)")*($BX$6+$BX$6*0.00759)
+COUNTIF(H23,"Çikolata Yardımı")*($BX$7+$BX$7*0.00759)
+COUNTIF(H23,"Doğal Afet Yardımı")*($BX$8+$BX$8*0.00759)
+COUNTIF(H23,"Doğum Yardımı (İşveren)")*($BX$9+$BX$9*0.00759)
+COUNTIF(H23,"Eğitim Yardımı (Çocuk-İlköğretim)")*($BX$10/CM19)
+COUNTIF(H23,"Eğitim Yardımı (Çocuk-Ortaöğretim)")*($BX$11/CM19)
+COUNTIF(H23,"Eğitim Yardımı (Çocuk-Lise)")*($BX$12/CM19)
+COUNTIF(H23,"Eğitim Yardımı (Çocuk-Yükseköğretim)")*($BX$13/CM19)
+COUNTIF(H23,"Eğitim Yardımı (İşçi-Lise)")*($BX$14/CM19)
+COUNTIF(H23,"Eğitim Yardımı (İşçi-Yükseköğretim)")*($BX$15/CM19)
+COUNTIF(H23,"Evlilik Yardımı")*($BX$16+$BX$16*0.00759)
+COUNTIF(H23,"Gıda Yardımı")*($BX$17/CM19)
+COUNTIF(H23,"İş Kazası veya Meslek Hastalığı Tazminatı")*($BX$18+$BX$18*0.00759)
+COUNTIF(H23,"Temizlik Yardımı")*($BX$19/CM19)
+COUNTIF(I23,"Yok")*(0)
+COUNTIF(I23,"Askerlik Yardımı")*($BX$2/CM19)
+COUNTIF(I23,"Cenaze Yardımı (Anne-Baba)")*($BX$3+$BX$3*0.00759)
+COUNTIF(I23,"Cenaze Yardımı (Eş-Çocuk)")*($BX$4+$BX$4*0.00759)
+COUNTIF(I23,"Cenaze Yardımı (İşçi-İş Kazası Sonucu)")*($BX$5+$BX$5*0.00759)
+COUNTIF(I23,"Cenaze Yardımı (İşçi-Tabii Sebepler Sonucu)")*($BX$6+$BX$6*0.00759)
+COUNTIF(I23,"Çikolata Yardımı")*($BX$7+$BX$7*0.00759)
+COUNTIF(I23,"Doğal Afet Yardımı")*($BX$8+$BX$8*0.00759)
+COUNTIF(I23,"Doğum Yardımı (İşveren)")*($BX$9+$BX$9*0.00759)
+COUNTIF(I23,"Eğitim Yardımı (Çocuk-İlköğretim)")*($BX$10/CM19)
+COUNTIF(I23,"Eğitim Yardımı (Çocuk-Ortaöğretim)")*($BX$11/CM19)
+COUNTIF(I23,"Eğitim Yardımı (Çocuk-Lise)")*($BX$12/CM19)
+COUNTIF(I23,"Eğitim Yardımı (Çocuk-Yükseköğretim)")*($BX$13/CM19)
+COUNTIF(I23,"Eğitim Yardımı (İşçi-Lise)")*($BX$14/CM19)
+COUNTIF(I23,"Eğitim Yardımı (İşçi-Yükseköğretim)")*($BX$15/CM19)
+COUNTIF(I23,"Evlilik Yardımı")*($BX$16+$BX$16*0.00759)
+COUNTIF(I23,"Gıda Yardımı")*($BX$17/CM19)
+COUNTIF(I23,"İş Kazası veya Meslek Hastalığı Tazminatı")*($BX$18+$BX$18*0.00759)
+COUNTIF(I23,"Temizlik Yardımı")*($BX$19/CM19)
+COUNTIF(J23,"Yok")*(0)
+COUNTIF(J23,"Askerlik Yardımı")*($BX$2/CM19)
+COUNTIF(J23,"Cenaze Yardımı (Anne-Baba)")*($BX$3+$BX$3*0.00759)
+COUNTIF(J23,"Cenaze Yardımı (Eş-Çocuk)")*($BX$4+$BX$4*0.00759)
+COUNTIF(J23,"Cenaze Yardımı (İşçi-İş Kazası Sonucu)")*($BX$5+$BX$5*0.00759)
+COUNTIF(J23,"Cenaze Yardımı (İşçi-Tabii Sebepler Sonucu)")*($BX$6+$BX$6*0.00759)
+COUNTIF(J23,"Çikolata Yardımı")*($BX$7+$BX$7*0.00759)
+COUNTIF(J23,"Doğal Afet Yardımı")*($BX$8+$BX$8*0.00759)
+COUNTIF(J23,"Doğum Yardımı (İşveren)")*($BX$9+$BX$9*0.00759)
+COUNTIF(J23,"Eğitim Yardımı (Çocuk-İlköğretim)")*($BX$10/CM19)
+COUNTIF(J23,"Eğitim Yardımı (Çocuk-Ortaöğretim)")*($BX$11/CM19)
+COUNTIF(J23,"Eğitim Yardımı (Çocuk-Lise)")*($BX$12/CM19)
+COUNTIF(J23,"Eğitim Yardımı (Çocuk-Yükseköğretim)")*($BX$13/CM19)
+COUNTIF(J23,"Eğitim Yardımı (İşçi-Lise)")*($BX$14/CM19)
+COUNTIF(J23,"Eğitim Yardımı (İşçi-Yükseköğretim)")*($BX$15/CM19)
+COUNTIF(J23,"Evlilik Yardımı")*($BX$16+$BX$16*0.00759)
+COUNTIF(J23,"Gıda Yardımı")*($BX$17/CM19)
+COUNTIF(J23,"İş Kazası veya Meslek Hastalığı Tazminatı")*($BX$18+$BX$18*0.00759)
+COUNTIF(J23,"Temizlik Yardımı")*($BX$19/CM19)</f>
        <v>0</v>
      </c>
      <c r="BH4" s="39">
        <f>COUNTIF(H23,"Yok")*(0)
+COUNTIF(H23,"Askerlik Yardımı")*(0)
+COUNTIF(H23,"Cenaze Yardımı (Anne-Baba)")*($BX$3+$BX$3*0.00759)
+COUNTIF(H23,"Cenaze Yardımı (Eş-Çocuk)")*($BX$4+$BX$4*0.00759)
+COUNTIF(H23,"Cenaze Yardımı (İşçi-İş Kazası Sonucu)")*($BX$5+$BX$5*0.00759)
+COUNTIF(H23,"Cenaze Yardımı (İşçi-Tabii Sebepler Sonucu)")*($BX$6+$BX$6*0.00759)
+COUNTIF(H23,"Çikolata Yardımı")*($BX$7+$BX$7*0.00759)
+COUNTIF(H23,"Doğal Afet Yardımı")*($BX$8+$BX$8*0.00759)
+COUNTIF(H23,"Doğum Yardımı (İşveren)")*($BX$9+$BX$9*0.00759)
+COUNTIF(H23,"Eğitim Yardımı (Çocuk-İlköğretim)")*(0)
+COUNTIF(H23,"Eğitim Yardımı (Çocuk-Ortaöğretim)")*(0)
+COUNTIF(H23,"Eğitim Yardımı (Çocuk-Lise)")*(0)
+COUNTIF(H23,"Eğitim Yardımı (Çocuk-Yükseköğretim)")*(0)
+COUNTIF(H23,"Eğitim Yardımı (İşçi-Lise)")*(0)
+COUNTIF(H23,"Eğitim Yardımı (İşçi-Yükseköğretim)")*(0)
+COUNTIF(H23,"Evlilik Yardımı")*($BX$16+$BX$16*0.00759)
+COUNTIF(H23,"Gıda Yardımı")*(0)
+COUNTIF(H23,"İş Kazası veya Meslek Hastalığı Tazminatı")*($BX$18+$BX$18*0.00759)
+COUNTIF(H23,"Temizlik Yardımı")*(0)
+COUNTIF(I23,"Yok")*(0)
+COUNTIF(I23,"Askerlik Yardımı")*(0)
+COUNTIF(I23,"Cenaze Yardımı (Anne-Baba)")*($BX$3+$BX$3*0.00759)
+COUNTIF(I23,"Cenaze Yardımı (Eş-Çocuk)")*($BX$4+$BX$4*0.00759)
+COUNTIF(I23,"Cenaze Yardımı (İşçi-İş Kazası Sonucu)")*($BX$5+$BX$5*0.00759)
+COUNTIF(I23,"Cenaze Yardımı (İşçi-Tabii Sebepler Sonucu)")*($BX$6+$BX$6*0.00759)
+COUNTIF(I23,"Çikolata Yardımı")*($BX$7+$BX$7*0.00759)
+COUNTIF(I23,"Doğal Afet Yardımı")*($BX$8+$BX$8*0.00759)
+COUNTIF(I23,"Doğum Yardımı (İşveren)")*($BX$9+$BX$9*0.00759)
+COUNTIF(I23,"Eğitim Yardımı (Çocuk-İlköğretim)")*(0)
+COUNTIF(I23,"Eğitim Yardımı (Çocuk-Ortaöğretim)")*(0)
+COUNTIF(I23,"Eğitim Yardımı (Çocuk-Lise)")*(0)
+COUNTIF(I23,"Eğitim Yardımı (Çocuk-Yükseköğretim)")*(0)
+COUNTIF(I23,"Eğitim Yardımı (İşçi-Lise)")*(0)
+COUNTIF(I23,"Eğitim Yardımı (İşçi-Yükseköğretim)")*(0)
+COUNTIF(I23,"Evlilik Yardımı")*($BX$16+$BX$16*0.00759)
+COUNTIF(I23,"Gıda Yardımı")*(0)
+COUNTIF(I23,"İş Kazası veya Meslek Hastalığı Tazminatı")*($BX$18+$BX$18*0.00759)
+COUNTIF(I23,"Temizlik Yardımı")*(0)
+COUNTIF(J23,"Yok")*(0)
+COUNTIF(J23,"Askerlik Yardımı")*(0)
+COUNTIF(J23,"Cenaze Yardımı (Anne-Baba)")*($BX$3+$BX$3*0.00759)
+COUNTIF(J23,"Cenaze Yardımı (Eş-Çocuk)")*($BX$4+$BX$4*0.00759)
+COUNTIF(J23,"Cenaze Yardımı (İşçi-İş Kazası Sonucu)")*($BX$5+$BX$5*0.00759)
+COUNTIF(J23,"Cenaze Yardımı (İşçi-Tabii Sebepler Sonucu)")*($BX$6+$BX$6*0.00759)
+COUNTIF(J23,"Çikolata Yardımı")*($BX$7+$BX$7*0.00759)
+COUNTIF(J23,"Doğal Afet Yardımı")*($BX$8+$BX$8*0.00759)
+COUNTIF(J23,"Doğum Yardımı (İşveren)")*($BX$9+$BX$9*0.00759)
+COUNTIF(J23,"Eğitim Yardımı (Çocuk-İlköğretim)")*(0)
+COUNTIF(J23,"Eğitim Yardımı (Çocuk-Ortaöğretim)")*(0)
+COUNTIF(J23,"Eğitim Yardımı (Çocuk-Lise)")*(0)
+COUNTIF(J23,"Eğitim Yardımı (Çocuk-Yükseköğretim)")*(0)
+COUNTIF(J23,"Eğitim Yardımı (İşçi-Lise)")*(0)
+COUNTIF(J23,"Eğitim Yardımı (İşçi-Yükseköğretim)")*(0)
+COUNTIF(J23,"Evlilik Yardımı")*($BX$16+$BX$16*0.00759)
+COUNTIF(J23,"Gıda Yardımı")*(0)
+COUNTIF(J23,"İş Kazası veya Meslek Hastalığı Tazminatı")*($BX$18+$BX$18*0.00759)
+COUNTIF(J23,"Temizlik Yardımı")*(0)</f>
        <v>0</v>
      </c>
      <c r="BI4" s="39">
        <f>COUNTIF(H23,"Yok")*(0)
+COUNTIF(H23,"Askerlik Yardımı")*($BX$2)
+COUNTIF(H23,"Cenaze Yardımı (Anne-Baba)")*($BX$3)
+COUNTIF(H23,"Cenaze Yardımı (Eş-Çocuk)")*($BX$4)
+COUNTIF(H23,"Cenaze Yardımı (İşçi-İş Kazası Sonucu)")*($BX$5)
+COUNTIF(H23,"Cenaze Yardımı (İşçi-Tabii Sebepler Sonucu)")*($BX$6)
+COUNTIF(H23,"Çikolata Yardımı")*($BX$7)
+COUNTIF(H23,"Doğal Afet Yardımı")*($BX$8)
+COUNTIF(H23,"Doğum Yardımı (İşveren)")*($BX$9)
+COUNTIF(H23,"Eğitim Yardımı (Çocuk-İlköğretim)")*($BX$10)
+COUNTIF(H23,"Eğitim Yardımı (Çocuk-Ortaöğretim)")*($BX$11)
+COUNTIF(H23,"Eğitim Yardımı (Çocuk-Lise)")*($BX$12)
+COUNTIF(H23,"Eğitim Yardımı (Çocuk-Yükseköğretim)")*($BX$13)
+COUNTIF(H23,"Eğitim Yardımı (İşçi-Lise)")*($BX$14)
+COUNTIF(H23,"Eğitim Yardımı (İşçi-Yükseköğretim)")*($BX$15)
+COUNTIF(H23,"Evlilik Yardımı")*($BX$16)
+COUNTIF(H23,"Gıda Yardımı")*($BX$17)
+COUNTIF(H23,"İş Kazası veya Meslek Hastalığı Tazminatı")*($BX$18)
+COUNTIF(H23,"Temizlik Yardımı")*($BX$19)
+COUNTIF(I23,"Yok")*(0)
+COUNTIF(I23,"Askerlik Yardımı")*($BX$2)
+COUNTIF(I23,"Cenaze Yardımı (Anne-Baba)")*($BX$3)
+COUNTIF(I23,"Cenaze Yardımı (Eş-Çocuk)")*($BX$4)
+COUNTIF(I23,"Cenaze Yardımı (İşçi-İş Kazası Sonucu)")*($BX$5)
+COUNTIF(I23,"Cenaze Yardımı (İşçi-Tabii Sebepler Sonucu)")*($BX$6)
+COUNTIF(I23,"Çikolata Yardımı")*($BX$7)
+COUNTIF(I23,"Doğal Afet Yardımı")*($BX$8)
+COUNTIF(I23,"Doğum Yardımı (İşveren)")*($BX$9)
+COUNTIF(I23,"Eğitim Yardımı (Çocuk-İlköğretim)")*($BX$10)
+COUNTIF(I23,"Eğitim Yardımı (Çocuk-Ortaöğretim)")*($BX$11)
+COUNTIF(I23,"Eğitim Yardımı (Çocuk-Lise)")*($BX$12)
+COUNTIF(I23,"Eğitim Yardımı (Çocuk-Yükseköğretim)")*($BX$13)
+COUNTIF(I23,"Eğitim Yardımı (İşçi-Lise)")*($BX$14)
+COUNTIF(I23,"Eğitim Yardımı (İşçi-Yükseköğretim)")*($BX$15)
+COUNTIF(I23,"Evlilik Yardımı")*($BX$16)
+COUNTIF(I23,"Gıda Yardımı")*($BX$17)
+COUNTIF(I23,"İş Kazası veya Meslek Hastalığı Tazminatı")*($BX$18)
+COUNTIF(I23,"Temizlik Yardımı")*($BX$19)
+COUNTIF(J23,"Yok")*(0)
+COUNTIF(J23,"Askerlik Yardımı")*($BX$2)
+COUNTIF(J23,"Cenaze Yardımı (Anne-Baba)")*($BX$3)
+COUNTIF(J23,"Cenaze Yardımı (Eş-Çocuk)")*($BX$4)
+COUNTIF(J23,"Cenaze Yardımı (İşçi-İş Kazası Sonucu)")*($BX$5)
+COUNTIF(J23,"Cenaze Yardımı (İşçi-Tabii Sebepler Sonucu)")*($BX$6)
+COUNTIF(J23,"Çikolata Yardımı")*($BX$7)
+COUNTIF(J23,"Doğal Afet Yardımı")*($BX$8)
+COUNTIF(J23,"Doğum Yardımı (İşveren)")*($BX$9)
+COUNTIF(J23,"Eğitim Yardımı (Çocuk-İlköğretim)")*($BX$10)
+COUNTIF(J23,"Eğitim Yardımı (Çocuk-Ortaöğretim)")*($BX$11)
+COUNTIF(J23,"Eğitim Yardımı (Çocuk-Lise)")*($BX$12)
+COUNTIF(J23,"Eğitim Yardımı (Çocuk-Yükseköğretim)")*($BX$13)
+COUNTIF(J23,"Eğitim Yardımı (İşçi-Lise)")*($BX$14)
+COUNTIF(J23,"Eğitim Yardımı (İşçi-Yükseköğretim)")*($BX$15)
+COUNTIF(J23,"Evlilik Yardımı")*($BX$16)
+COUNTIF(J23,"Gıda Yardımı")*($BX$17)
+COUNTIF(J23,"İş Kazası veya Meslek Hastalığı Tazminatı")*($BX$18)
+COUNTIF(J23,"Temizlik Yardımı")*($BX$19)</f>
        <v>0</v>
      </c>
      <c r="BJ4" s="40" t="s">
        <v>12</v>
      </c>
      <c r="BK4" s="38">
        <f>COUNTIF(BJ4,"Var")*(AK23*0.9*-1)</f>
        <v>-314.3659263304092</v>
      </c>
      <c r="BL4" s="38">
        <f>(BK4*-1)</f>
        <v>314.3659263304092</v>
      </c>
      <c r="BM4" s="41">
        <v>0.35</v>
      </c>
      <c r="BN4" s="38">
        <f>$BO$3</f>
        <v>250000</v>
      </c>
      <c r="BO4" s="38">
        <v>880000</v>
      </c>
      <c r="BP4" s="38">
        <f>(BO3-BN3)*BM3+BP3</f>
        <v>61000</v>
      </c>
      <c r="BW4" s="45" t="s">
        <v>64</v>
      </c>
      <c r="BX4" s="39">
        <v>692.14</v>
      </c>
      <c r="BY4" s="39">
        <f ca="1">(CS14*K18+BZ4)*-1</f>
        <v>0</v>
      </c>
      <c r="BZ4" s="39">
        <f ca="1">(AV4+AX4+AE7-AJ7)*(K18*-1)</f>
        <v>0</v>
      </c>
      <c r="CA4" s="39">
        <f t="shared" ca="1" si="12"/>
        <v>0</v>
      </c>
      <c r="CB4" s="38" t="s">
        <v>0</v>
      </c>
      <c r="CC4" s="38">
        <f>(5004)</f>
        <v>5004</v>
      </c>
      <c r="CD4" s="38">
        <f>(5004)</f>
        <v>5004</v>
      </c>
      <c r="CE4" s="38">
        <f t="shared" si="13"/>
        <v>0</v>
      </c>
      <c r="CF4" s="38">
        <f t="shared" si="14"/>
        <v>0</v>
      </c>
      <c r="CG4" s="38">
        <f>(0)</f>
        <v>0</v>
      </c>
      <c r="CH4" s="38">
        <f t="shared" si="15"/>
        <v>5004</v>
      </c>
      <c r="CI4" s="38">
        <f t="shared" si="16"/>
        <v>-700.56000000000006</v>
      </c>
      <c r="CJ4" s="38">
        <f t="shared" si="17"/>
        <v>-50.04</v>
      </c>
      <c r="CK4" s="44">
        <f t="shared" si="6"/>
        <v>0.15</v>
      </c>
      <c r="CL4" s="38">
        <f>(ROUND(BZ10*CK4,2))</f>
        <v>638.01</v>
      </c>
      <c r="CM4" s="44">
        <f t="shared" si="7"/>
        <v>0.84491000000000005</v>
      </c>
      <c r="CN4" s="38">
        <f>CC4</f>
        <v>5004</v>
      </c>
      <c r="CO4" s="38">
        <f>CC4+CF4+CI4+CJ4</f>
        <v>4253.3999999999996</v>
      </c>
      <c r="CP4" s="38" t="s">
        <v>0</v>
      </c>
      <c r="CQ4" s="38">
        <f ca="1">(AR1+AT4+AV4+AX4+AE7+AU18+BA18+BD18+BG18+BJ18+BM18+AU23)</f>
        <v>14763.499168260214</v>
      </c>
      <c r="CR4" s="38">
        <f ca="1">(AR1+AT4+AV4+AX4+AE7+AU18+BA18+BD18+BG18+BJ18+BM18+AU23)</f>
        <v>14763.499168260214</v>
      </c>
      <c r="CS4" s="38">
        <f t="shared" ca="1" si="8"/>
        <v>-112.05495868709502</v>
      </c>
      <c r="CT4" s="38">
        <f>(CD4)</f>
        <v>5004</v>
      </c>
      <c r="CU4" s="38">
        <f t="shared" si="9"/>
        <v>-37.980360000000005</v>
      </c>
      <c r="CV4" s="38">
        <f t="shared" ca="1" si="10"/>
        <v>9759.499168260214</v>
      </c>
      <c r="CW4" s="38">
        <f t="shared" ca="1" si="11"/>
        <v>-74.074598687095033</v>
      </c>
      <c r="DF4" s="42">
        <v>2</v>
      </c>
      <c r="DG4" s="46">
        <v>1</v>
      </c>
      <c r="DH4" s="47">
        <v>0.04</v>
      </c>
      <c r="DI4" s="55"/>
    </row>
    <row r="5" spans="1:113" ht="39.950000000000003" customHeight="1" x14ac:dyDescent="0.25">
      <c r="A5" s="76"/>
      <c r="B5" s="77"/>
      <c r="C5" s="67"/>
      <c r="D5" s="67"/>
      <c r="E5" s="78"/>
      <c r="F5" s="67"/>
      <c r="G5" s="67"/>
      <c r="H5" s="58"/>
      <c r="I5" s="58"/>
      <c r="J5" s="58"/>
      <c r="K5" s="67"/>
      <c r="L5" s="67"/>
      <c r="M5" s="67"/>
      <c r="N5" s="73"/>
      <c r="O5" s="18" t="s">
        <v>9</v>
      </c>
      <c r="P5" s="19">
        <f t="shared" ref="P5:P8" si="18">IF(Q5&gt;0,Q5,Q5*-1)</f>
        <v>11000</v>
      </c>
      <c r="Q5" s="19">
        <f>COUNTIF(R1,"Ocak")*(AF4)
+COUNTIF(R1,"Şubat")*(AF5)
+COUNTIF(R1,"Mart")*(AF6)
+COUNTIF(R1,"Nisan")*(AF7)
+COUNTIF(R1,"Mayıs")*(AF8)
+COUNTIF(R1,"Haziran")*(BA6)
+COUNTIF(R1,"Temmuz")*(BA7)
+COUNTIF(R1,"Ağustos")*(BA8)
+COUNTIF(R1,"Eylül")*(BA9)
+COUNTIF(R1,"Ekim")*(BA10)
+COUNTIF(R1,"Kasım")*(BA11)
+COUNTIF(R1,"Aralık")*(BA12)
+COUNTIF(R1,"Yıllık Toplam")*(BA13)
+COUNTIF(R1,"Yıllık Ortalama")*(BA14)</f>
        <v>11000</v>
      </c>
      <c r="R5" s="72"/>
      <c r="S5" s="71"/>
      <c r="T5" s="24" t="s">
        <v>31</v>
      </c>
      <c r="U5" s="26" t="s">
        <v>51</v>
      </c>
      <c r="V5" s="60"/>
      <c r="W5" s="61"/>
      <c r="X5" s="63"/>
      <c r="Y5" s="62"/>
      <c r="Z5" s="30"/>
      <c r="AA5" s="32" t="s">
        <v>94</v>
      </c>
      <c r="AB5" s="33">
        <v>282.48</v>
      </c>
      <c r="AC5" s="33">
        <v>282.48</v>
      </c>
      <c r="AD5" s="33">
        <v>282.48</v>
      </c>
      <c r="AE5" s="38">
        <f ca="1">(AG5+AI5*-1+AL5*-1+AM5*-1+AP5*-1)</f>
        <v>795.30132700000001</v>
      </c>
      <c r="AF5" s="38">
        <f>(35*F16)</f>
        <v>700</v>
      </c>
      <c r="AG5" s="38">
        <f>(AF5)</f>
        <v>700</v>
      </c>
      <c r="AH5" s="38">
        <f ca="1">ROUND((AG5+AI5*-1+AL5*-1+AM5*-1+AP5*-1),2)</f>
        <v>795.3</v>
      </c>
      <c r="AI5" s="38">
        <f ca="1">(AH5*0.00759*-1)</f>
        <v>-6.036327</v>
      </c>
      <c r="AJ5" s="38">
        <f>(10.01*F16)</f>
        <v>200.2</v>
      </c>
      <c r="AK5" s="38">
        <f ca="1">(AH5-AJ5)</f>
        <v>595.09999999999991</v>
      </c>
      <c r="AL5" s="38">
        <f ca="1">(AK5*0.14*-1)</f>
        <v>-83.313999999999993</v>
      </c>
      <c r="AM5" s="38">
        <f ca="1">(AK5*0.01*-1)</f>
        <v>-5.9509999999999996</v>
      </c>
      <c r="AN5" s="38">
        <f>(0)</f>
        <v>0</v>
      </c>
      <c r="AO5" s="38">
        <f ca="1">(AH5+AL5+AM5-AN5)</f>
        <v>706.03499999999997</v>
      </c>
      <c r="AP5" s="38">
        <f>(0)</f>
        <v>0</v>
      </c>
      <c r="AT5" s="38">
        <f t="shared" si="1"/>
        <v>0</v>
      </c>
      <c r="AU5" s="38">
        <f t="shared" si="2"/>
        <v>0</v>
      </c>
      <c r="AV5" s="38">
        <f t="shared" si="3"/>
        <v>2071.734666017735</v>
      </c>
      <c r="AW5" s="38">
        <f>(AP2/8*1.3*D19)</f>
        <v>1745.25</v>
      </c>
      <c r="AX5" s="38">
        <f t="shared" si="4"/>
        <v>0</v>
      </c>
      <c r="AY5" s="38">
        <f>(AP2/8*2*E19)</f>
        <v>0</v>
      </c>
      <c r="AZ5" s="38">
        <f>COUNTIF($A$1,"1S-Kaptan-Üniversite")*(2000/30*AP18)
+COUNTIF($A$1,"1S-Kaptan-MYO")*(2000/30*AP18)
+COUNTIF($A$1,"1S-Kaptan-Lise")*(2000/30*AP18)
+COUNTIF($A$1,"1S-Kaptan-Ortaokul")*(2000/30*AP18)
+COUNTIF($A$1,"1S-Kaptan-İlkokul")*(2000/30*AP18)
+COUNTIF($A$1,"1S-Baş Makinist-Üniversite")*(2000/30*AP18)
+COUNTIF($A$1,"1S-Baş Makinist-MYO")*(2000/30*AP18)
+COUNTIF($A$1,"1S-Baş Makinist-Lise")*(2000/30*AP18)
+COUNTIF($A$1,"1S-Baş Makinist-Ortaokul")*(2000/30*AP18)
+COUNTIF($A$1,"1S-Baş Makinist-İlkokul")*(2000/30*AP18)
+COUNTIF($A$1,"1S-İkinci Kaptan-Üniversite")*(250/30*AP18)
+COUNTIF($A$1,"1S-İkinci Kaptan-MYO")*(250/30*AP18)
+COUNTIF($A$1,"1S-İkinci Kaptan-Lise")*(250/30*AP18)
+COUNTIF($A$1,"1S-İkinci Kaptan-Ortaokul")*(250/30*AP18)
+COUNTIF($A$1,"1S-İkinci Kaptan-İlkokul")*(250/30*AP18)
+COUNTIF($A$1,"2S-Kaptan-Üniversite")*(1525/30*AP18)
+COUNTIF($A$1,"2S-Kaptan-MYO")*(1525/30*AP18)
+COUNTIF($A$1,"2S-Kaptan-Lise")*(1525/30*AP18)
+COUNTIF($A$1,"2S-Kaptan-Ortaokul")*(1525/30*AP18)
+COUNTIF($A$1,"2S-Kaptan-İlkokul")*(1525/30*AP18)
+COUNTIF($A$1,"2S-Baş Makinist-Üniversite")*(1525/30*AP18)
+COUNTIF($A$1,"2S-Baş Makinist-MYO")*(1525/30*AP18)
+COUNTIF($A$1,"2S-Baş Makinist-Lise")*(1525/30*AP18)
+COUNTIF($A$1,"2S-Baş Makinist-Ortaokul")*(1525/30*AP18)
+COUNTIF($A$1,"2S-Baş Makinist-İlkokul")*(1525/30*AP18)
+COUNTIF($A$1,"2S-İkinci Kaptan-Üniversite")*(250/30*AP18)
+COUNTIF($A$1,"2S-İkinci Kaptan-MYO")*(250/30*AP18)
+COUNTIF($A$1,"2S-İkinci Kaptan-Lise")*(250/30*AP18)
+COUNTIF($A$1,"2S-İkinci Kaptan-Ortaokul")*(250/30*AP18)
+COUNTIF($A$1,"2S-İkinci Kaptan-İlkokul")*(250/30*AP18)</f>
        <v>1525</v>
      </c>
      <c r="BA5" s="38">
        <f>(BB5/CM22)</f>
        <v>0</v>
      </c>
      <c r="BB5" s="38">
        <f>(18.71*G26)</f>
        <v>0</v>
      </c>
      <c r="BC5" s="36" t="s">
        <v>0</v>
      </c>
      <c r="BD5" s="38">
        <f t="shared" si="5"/>
        <v>396.73</v>
      </c>
      <c r="BE5" s="38">
        <f>(BD5-BD5*0.00759)</f>
        <v>393.71881930000001</v>
      </c>
      <c r="BF5" s="38">
        <f>(BD5)</f>
        <v>396.73</v>
      </c>
      <c r="BG5" s="39">
        <f>COUNTIF(H24,"Yok")*(0)
+COUNTIF(H24,"Askerlik Yardımı")*($BX$2/CM20)
+COUNTIF(H24,"Cenaze Yardımı (Anne-Baba)")*($BX$3+$BX$3*0.00759)
+COUNTIF(H24,"Cenaze Yardımı (Eş-Çocuk)")*($BX$4+$BX$4*0.00759)
+COUNTIF(H24,"Cenaze Yardımı (İşçi-İş Kazası Sonucu)")*($BX$5+$BX$5*0.00759)
+COUNTIF(H24,"Cenaze Yardımı (İşçi-Tabii Sebepler Sonucu)")*($BX$6+$BX$6*0.00759)
+COUNTIF(H24,"Çikolata Yardımı")*($BX$7+$BX$7*0.00759)
+COUNTIF(H24,"Doğal Afet Yardımı")*($BX$8+$BX$8*0.00759)
+COUNTIF(H24,"Doğum Yardımı (İşveren)")*($BX$9+$BX$9*0.00759)
+COUNTIF(H24,"Eğitim Yardımı (Çocuk-İlköğretim)")*($BX$10/CM20)
+COUNTIF(H24,"Eğitim Yardımı (Çocuk-Ortaöğretim)")*($BX$11/CM20)
+COUNTIF(H24,"Eğitim Yardımı (Çocuk-Lise)")*($BX$12/CM20)
+COUNTIF(H24,"Eğitim Yardımı (Çocuk-Yükseköğretim)")*($BX$13/CM20)
+COUNTIF(H24,"Eğitim Yardımı (İşçi-Lise)")*($BX$14/CM20)
+COUNTIF(H24,"Eğitim Yardımı (İşçi-Yükseköğretim)")*($BX$15/CM20)
+COUNTIF(H24,"Evlilik Yardımı")*($BX$16+$BX$16*0.00759)
+COUNTIF(H24,"Gıda Yardımı")*($BX$17/CM20)
+COUNTIF(H24,"İş Kazası veya Meslek Hastalığı Tazminatı")*($BX$18+$BX$18*0.00759)
+COUNTIF(H24,"Temizlik Yardımı")*($BX$19/CM20)
+COUNTIF(I24,"Yok")*(0)
+COUNTIF(I24,"Askerlik Yardımı")*($BX$2/CM20)
+COUNTIF(I24,"Cenaze Yardımı (Anne-Baba)")*($BX$3+$BX$3*0.00759)
+COUNTIF(I24,"Cenaze Yardımı (Eş-Çocuk)")*($BX$4+$BX$4*0.00759)
+COUNTIF(I24,"Cenaze Yardımı (İşçi-İş Kazası Sonucu)")*($BX$5+$BX$5*0.00759)
+COUNTIF(I24,"Cenaze Yardımı (İşçi-Tabii Sebepler Sonucu)")*($BX$6+$BX$6*0.00759)
+COUNTIF(I24,"Çikolata Yardımı")*($BX$7+$BX$7*0.00759)
+COUNTIF(I24,"Doğal Afet Yardımı")*($BX$8+$BX$8*0.00759)
+COUNTIF(I24,"Doğum Yardımı (İşveren)")*($BX$9+$BX$9*0.00759)
+COUNTIF(I24,"Eğitim Yardımı (Çocuk-İlköğretim)")*($BX$10/CM20)
+COUNTIF(I24,"Eğitim Yardımı (Çocuk-Ortaöğretim)")*($BX$11/CM20)
+COUNTIF(I24,"Eğitim Yardımı (Çocuk-Lise)")*($BX$12/CM20)
+COUNTIF(I24,"Eğitim Yardımı (Çocuk-Yükseköğretim)")*($BX$13/CM20)
+COUNTIF(I24,"Eğitim Yardımı (İşçi-Lise)")*($BX$14/CM20)
+COUNTIF(I24,"Eğitim Yardımı (İşçi-Yükseköğretim)")*($BX$15/CM20)
+COUNTIF(I24,"Evlilik Yardımı")*($BX$16+$BX$16*0.00759)
+COUNTIF(I24,"Gıda Yardımı")*($BX$17/CM20)
+COUNTIF(I24,"İş Kazası veya Meslek Hastalığı Tazminatı")*($BX$18+$BX$18*0.00759)
+COUNTIF(I24,"Temizlik Yardımı")*($BX$19/CM20)
+COUNTIF(J24,"Yok")*(0)
+COUNTIF(J24,"Askerlik Yardımı")*($BX$2/CM20)
+COUNTIF(J24,"Cenaze Yardımı (Anne-Baba)")*($BX$3+$BX$3*0.00759)
+COUNTIF(J24,"Cenaze Yardımı (Eş-Çocuk)")*($BX$4+$BX$4*0.00759)
+COUNTIF(J24,"Cenaze Yardımı (İşçi-İş Kazası Sonucu)")*($BX$5+$BX$5*0.00759)
+COUNTIF(J24,"Cenaze Yardımı (İşçi-Tabii Sebepler Sonucu)")*($BX$6+$BX$6*0.00759)
+COUNTIF(J24,"Çikolata Yardımı")*($BX$7+$BX$7*0.00759)
+COUNTIF(J24,"Doğal Afet Yardımı")*($BX$8+$BX$8*0.00759)
+COUNTIF(J24,"Doğum Yardımı (İşveren)")*($BX$9+$BX$9*0.00759)
+COUNTIF(J24,"Eğitim Yardımı (Çocuk-İlköğretim)")*($BX$10/CM20)
+COUNTIF(J24,"Eğitim Yardımı (Çocuk-Ortaöğretim)")*($BX$11/CM20)
+COUNTIF(J24,"Eğitim Yardımı (Çocuk-Lise)")*($BX$12/CM20)
+COUNTIF(J24,"Eğitim Yardımı (Çocuk-Yükseköğretim)")*($BX$13/CM20)
+COUNTIF(J24,"Eğitim Yardımı (İşçi-Lise)")*($BX$14/CM20)
+COUNTIF(J24,"Eğitim Yardımı (İşçi-Yükseköğretim)")*($BX$15/CM20)
+COUNTIF(J24,"Evlilik Yardımı")*($BX$16+$BX$16*0.00759)
+COUNTIF(J24,"Gıda Yardımı")*($BX$17/CM20)
+COUNTIF(J24,"İş Kazası veya Meslek Hastalığı Tazminatı")*($BX$18+$BX$18*0.00759)
+COUNTIF(J24,"Temizlik Yardımı")*($BX$19/CM20)</f>
        <v>0</v>
      </c>
      <c r="BH5" s="39">
        <f>COUNTIF(H24,"Yok")*(0)
+COUNTIF(H24,"Askerlik Yardımı")*(0)
+COUNTIF(H24,"Cenaze Yardımı (Anne-Baba)")*($BX$3+$BX$3*0.00759)
+COUNTIF(H24,"Cenaze Yardımı (Eş-Çocuk)")*($BX$4+$BX$4*0.00759)
+COUNTIF(H24,"Cenaze Yardımı (İşçi-İş Kazası Sonucu)")*($BX$5+$BX$5*0.00759)
+COUNTIF(H24,"Cenaze Yardımı (İşçi-Tabii Sebepler Sonucu)")*($BX$6+$BX$6*0.00759)
+COUNTIF(H24,"Çikolata Yardımı")*($BX$7+$BX$7*0.00759)
+COUNTIF(H24,"Doğal Afet Yardımı")*($BX$8+$BX$8*0.00759)
+COUNTIF(H24,"Doğum Yardımı (İşveren)")*($BX$9+$BX$9*0.00759)
+COUNTIF(H24,"Eğitim Yardımı (Çocuk-İlköğretim)")*(0)
+COUNTIF(H24,"Eğitim Yardımı (Çocuk-Ortaöğretim)")*(0)
+COUNTIF(H24,"Eğitim Yardımı (Çocuk-Lise)")*(0)
+COUNTIF(H24,"Eğitim Yardımı (Çocuk-Yükseköğretim)")*(0)
+COUNTIF(H24,"Eğitim Yardımı (İşçi-Lise)")*(0)
+COUNTIF(H24,"Eğitim Yardımı (İşçi-Yükseköğretim)")*(0)
+COUNTIF(H24,"Evlilik Yardımı")*($BX$16+$BX$16*0.00759)
+COUNTIF(H24,"Gıda Yardımı")*(0)
+COUNTIF(H24,"İş Kazası veya Meslek Hastalığı Tazminatı")*($BX$18+$BX$18*0.00759)
+COUNTIF(H24,"Temizlik Yardımı")*(0)
+COUNTIF(I24,"Yok")*(0)
+COUNTIF(I24,"Askerlik Yardımı")*(0)
+COUNTIF(I24,"Cenaze Yardımı (Anne-Baba)")*($BX$3+$BX$3*0.00759)
+COUNTIF(I24,"Cenaze Yardımı (Eş-Çocuk)")*($BX$4+$BX$4*0.00759)
+COUNTIF(I24,"Cenaze Yardımı (İşçi-İş Kazası Sonucu)")*($BX$5+$BX$5*0.00759)
+COUNTIF(I24,"Cenaze Yardımı (İşçi-Tabii Sebepler Sonucu)")*($BX$6+$BX$6*0.00759)
+COUNTIF(I24,"Çikolata Yardımı")*($BX$7+$BX$7*0.00759)
+COUNTIF(I24,"Doğal Afet Yardımı")*($BX$8+$BX$8*0.00759)
+COUNTIF(I24,"Doğum Yardımı (İşveren)")*($BX$9+$BX$9*0.00759)
+COUNTIF(I24,"Eğitim Yardımı (Çocuk-İlköğretim)")*(0)
+COUNTIF(I24,"Eğitim Yardımı (Çocuk-Ortaöğretim)")*(0)
+COUNTIF(I24,"Eğitim Yardımı (Çocuk-Lise)")*(0)
+COUNTIF(I24,"Eğitim Yardımı (Çocuk-Yükseköğretim)")*(0)
+COUNTIF(I24,"Eğitim Yardımı (İşçi-Lise)")*(0)
+COUNTIF(I24,"Eğitim Yardımı (İşçi-Yükseköğretim)")*(0)
+COUNTIF(I24,"Evlilik Yardımı")*($BX$16+$BX$16*0.00759)
+COUNTIF(I24,"Gıda Yardımı")*(0)
+COUNTIF(I24,"İş Kazası veya Meslek Hastalığı Tazminatı")*($BX$18+$BX$18*0.00759)
+COUNTIF(I24,"Temizlik Yardımı")*(0)
+COUNTIF(J24,"Yok")*(0)
+COUNTIF(J24,"Askerlik Yardımı")*(0)
+COUNTIF(J24,"Cenaze Yardımı (Anne-Baba)")*($BX$3+$BX$3*0.00759)
+COUNTIF(J24,"Cenaze Yardımı (Eş-Çocuk)")*($BX$4+$BX$4*0.00759)
+COUNTIF(J24,"Cenaze Yardımı (İşçi-İş Kazası Sonucu)")*($BX$5+$BX$5*0.00759)
+COUNTIF(J24,"Cenaze Yardımı (İşçi-Tabii Sebepler Sonucu)")*($BX$6+$BX$6*0.00759)
+COUNTIF(J24,"Çikolata Yardımı")*($BX$7+$BX$7*0.00759)
+COUNTIF(J24,"Doğal Afet Yardımı")*($BX$8+$BX$8*0.00759)
+COUNTIF(J24,"Doğum Yardımı (İşveren)")*($BX$9+$BX$9*0.00759)
+COUNTIF(J24,"Eğitim Yardımı (Çocuk-İlköğretim)")*(0)
+COUNTIF(J24,"Eğitim Yardımı (Çocuk-Ortaöğretim)")*(0)
+COUNTIF(J24,"Eğitim Yardımı (Çocuk-Lise)")*(0)
+COUNTIF(J24,"Eğitim Yardımı (Çocuk-Yükseköğretim)")*(0)
+COUNTIF(J24,"Eğitim Yardımı (İşçi-Lise)")*(0)
+COUNTIF(J24,"Eğitim Yardımı (İşçi-Yükseköğretim)")*(0)
+COUNTIF(J24,"Evlilik Yardımı")*($BX$16+$BX$16*0.00759)
+COUNTIF(J24,"Gıda Yardımı")*(0)
+COUNTIF(J24,"İş Kazası veya Meslek Hastalığı Tazminatı")*($BX$18+$BX$18*0.00759)
+COUNTIF(J24,"Temizlik Yardımı")*(0)</f>
        <v>0</v>
      </c>
      <c r="BI5" s="39">
        <f>COUNTIF(H24,"Yok")*(0)
+COUNTIF(H24,"Askerlik Yardımı")*($BX$2)
+COUNTIF(H24,"Cenaze Yardımı (Anne-Baba)")*($BX$3)
+COUNTIF(H24,"Cenaze Yardımı (Eş-Çocuk)")*($BX$4)
+COUNTIF(H24,"Cenaze Yardımı (İşçi-İş Kazası Sonucu)")*($BX$5)
+COUNTIF(H24,"Cenaze Yardımı (İşçi-Tabii Sebepler Sonucu)")*($BX$6)
+COUNTIF(H24,"Çikolata Yardımı")*($BX$7)
+COUNTIF(H24,"Doğal Afet Yardımı")*($BX$8)
+COUNTIF(H24,"Doğum Yardımı (İşveren)")*($BX$9)
+COUNTIF(H24,"Eğitim Yardımı (Çocuk-İlköğretim)")*($BX$10)
+COUNTIF(H24,"Eğitim Yardımı (Çocuk-Ortaöğretim)")*($BX$11)
+COUNTIF(H24,"Eğitim Yardımı (Çocuk-Lise)")*($BX$12)
+COUNTIF(H24,"Eğitim Yardımı (Çocuk-Yükseköğretim)")*($BX$13)
+COUNTIF(H24,"Eğitim Yardımı (İşçi-Lise)")*($BX$14)
+COUNTIF(H24,"Eğitim Yardımı (İşçi-Yükseköğretim)")*($BX$15)
+COUNTIF(H24,"Evlilik Yardımı")*($BX$16)
+COUNTIF(H24,"Gıda Yardımı")*($BX$17)
+COUNTIF(H24,"İş Kazası veya Meslek Hastalığı Tazminatı")*($BX$18)
+COUNTIF(H24,"Temizlik Yardımı")*($BX$19)
+COUNTIF(I24,"Yok")*(0)
+COUNTIF(I24,"Askerlik Yardımı")*($BX$2)
+COUNTIF(I24,"Cenaze Yardımı (Anne-Baba)")*($BX$3)
+COUNTIF(I24,"Cenaze Yardımı (Eş-Çocuk)")*($BX$4)
+COUNTIF(I24,"Cenaze Yardımı (İşçi-İş Kazası Sonucu)")*($BX$5)
+COUNTIF(I24,"Cenaze Yardımı (İşçi-Tabii Sebepler Sonucu)")*($BX$6)
+COUNTIF(I24,"Çikolata Yardımı")*($BX$7)
+COUNTIF(I24,"Doğal Afet Yardımı")*($BX$8)
+COUNTIF(I24,"Doğum Yardımı (İşveren)")*($BX$9)
+COUNTIF(I24,"Eğitim Yardımı (Çocuk-İlköğretim)")*($BX$10)
+COUNTIF(I24,"Eğitim Yardımı (Çocuk-Ortaöğretim)")*($BX$11)
+COUNTIF(I24,"Eğitim Yardımı (Çocuk-Lise)")*($BX$12)
+COUNTIF(I24,"Eğitim Yardımı (Çocuk-Yükseköğretim)")*($BX$13)
+COUNTIF(I24,"Eğitim Yardımı (İşçi-Lise)")*($BX$14)
+COUNTIF(I24,"Eğitim Yardımı (İşçi-Yükseköğretim)")*($BX$15)
+COUNTIF(I24,"Evlilik Yardımı")*($BX$16)
+COUNTIF(I24,"Gıda Yardımı")*($BX$17)
+COUNTIF(I24,"İş Kazası veya Meslek Hastalığı Tazminatı")*($BX$18)
+COUNTIF(I24,"Temizlik Yardımı")*($BX$19)
+COUNTIF(J24,"Yok")*(0)
+COUNTIF(J24,"Askerlik Yardımı")*($BX$2)
+COUNTIF(J24,"Cenaze Yardımı (Anne-Baba)")*($BX$3)
+COUNTIF(J24,"Cenaze Yardımı (Eş-Çocuk)")*($BX$4)
+COUNTIF(J24,"Cenaze Yardımı (İşçi-İş Kazası Sonucu)")*($BX$5)
+COUNTIF(J24,"Cenaze Yardımı (İşçi-Tabii Sebepler Sonucu)")*($BX$6)
+COUNTIF(J24,"Çikolata Yardımı")*($BX$7)
+COUNTIF(J24,"Doğal Afet Yardımı")*($BX$8)
+COUNTIF(J24,"Doğum Yardımı (İşveren)")*($BX$9)
+COUNTIF(J24,"Eğitim Yardımı (Çocuk-İlköğretim)")*($BX$10)
+COUNTIF(J24,"Eğitim Yardımı (Çocuk-Ortaöğretim)")*($BX$11)
+COUNTIF(J24,"Eğitim Yardımı (Çocuk-Lise)")*($BX$12)
+COUNTIF(J24,"Eğitim Yardımı (Çocuk-Yükseköğretim)")*($BX$13)
+COUNTIF(J24,"Eğitim Yardımı (İşçi-Lise)")*($BX$14)
+COUNTIF(J24,"Eğitim Yardımı (İşçi-Yükseköğretim)")*($BX$15)
+COUNTIF(J24,"Evlilik Yardımı")*($BX$16)
+COUNTIF(J24,"Gıda Yardımı")*($BX$17)
+COUNTIF(J24,"İş Kazası veya Meslek Hastalığı Tazminatı")*($BX$18)
+COUNTIF(J24,"Temizlik Yardımı")*($BX$19)</f>
        <v>0</v>
      </c>
      <c r="BJ5" s="40" t="s">
        <v>12</v>
      </c>
      <c r="BK5" s="38">
        <f>COUNTIF(BJ5,"Var")*(AK24*0.9*-1)</f>
        <v>-314.3659263304092</v>
      </c>
      <c r="BL5" s="38">
        <f>(BK5*-1)</f>
        <v>314.3659263304092</v>
      </c>
      <c r="BM5" s="41">
        <v>0.4</v>
      </c>
      <c r="BN5" s="48">
        <f>$BO$4</f>
        <v>880000</v>
      </c>
      <c r="BO5" s="38">
        <v>999999999</v>
      </c>
      <c r="BP5" s="38">
        <f>(BO4-BN4)*BM4+BP4</f>
        <v>281500</v>
      </c>
      <c r="BW5" s="45" t="s">
        <v>65</v>
      </c>
      <c r="BX5" s="39">
        <v>4195</v>
      </c>
      <c r="BY5" s="39">
        <f ca="1">(CS15*K19+BZ5)*-1</f>
        <v>0</v>
      </c>
      <c r="BZ5" s="39">
        <f ca="1">(AV5+AX5+AE8-AJ8)*(K19*-1)</f>
        <v>0</v>
      </c>
      <c r="CA5" s="39">
        <f t="shared" ca="1" si="12"/>
        <v>0</v>
      </c>
      <c r="CB5" s="38" t="s">
        <v>0</v>
      </c>
      <c r="CC5" s="38">
        <f>(5004)</f>
        <v>5004</v>
      </c>
      <c r="CD5" s="38">
        <f>(5004)</f>
        <v>5004</v>
      </c>
      <c r="CE5" s="38">
        <f t="shared" si="13"/>
        <v>0</v>
      </c>
      <c r="CF5" s="38">
        <f t="shared" si="14"/>
        <v>0</v>
      </c>
      <c r="CG5" s="38">
        <f>(0)</f>
        <v>0</v>
      </c>
      <c r="CH5" s="38">
        <f t="shared" si="15"/>
        <v>5004</v>
      </c>
      <c r="CI5" s="38">
        <f t="shared" si="16"/>
        <v>-700.56000000000006</v>
      </c>
      <c r="CJ5" s="38">
        <f t="shared" si="17"/>
        <v>-50.04</v>
      </c>
      <c r="CK5" s="44">
        <f t="shared" si="6"/>
        <v>0.15</v>
      </c>
      <c r="CL5" s="38">
        <f>(ROUND(BZ11*CK5,2))</f>
        <v>638.01</v>
      </c>
      <c r="CM5" s="44">
        <f t="shared" si="7"/>
        <v>0.84491000000000005</v>
      </c>
      <c r="CN5" s="38">
        <f>CC5</f>
        <v>5004</v>
      </c>
      <c r="CO5" s="38">
        <f>CC5+CF5+CI5+CJ5</f>
        <v>4253.3999999999996</v>
      </c>
      <c r="CP5" s="38" t="s">
        <v>0</v>
      </c>
      <c r="CQ5" s="38">
        <f ca="1">(AR2+AT5+AV5+AX5+AE8+AU19+BA19+BD19+BG19+BJ19+BM19+AU24)</f>
        <v>15136.619145468459</v>
      </c>
      <c r="CR5" s="38">
        <f ca="1">(AR2+AT5+AV5+AX5+AE8+AU19+BA19+BD19+BG19+BJ19+BM19+AU24)</f>
        <v>15136.619145468459</v>
      </c>
      <c r="CS5" s="38">
        <f t="shared" ca="1" si="8"/>
        <v>-114.88693931410562</v>
      </c>
      <c r="CT5" s="38">
        <f>(CD5)</f>
        <v>5004</v>
      </c>
      <c r="CU5" s="38">
        <f t="shared" si="9"/>
        <v>-37.980360000000005</v>
      </c>
      <c r="CV5" s="38">
        <f t="shared" ca="1" si="10"/>
        <v>10132.619145468459</v>
      </c>
      <c r="CW5" s="38">
        <f t="shared" ca="1" si="11"/>
        <v>-76.906579314105613</v>
      </c>
      <c r="DF5" s="42">
        <v>3</v>
      </c>
      <c r="DG5" s="46">
        <v>1.5</v>
      </c>
      <c r="DH5" s="47">
        <v>0.05</v>
      </c>
      <c r="DI5" s="55"/>
    </row>
    <row r="6" spans="1:113" ht="39.950000000000003" customHeight="1" x14ac:dyDescent="0.25">
      <c r="A6" s="76"/>
      <c r="B6" s="77"/>
      <c r="C6" s="67"/>
      <c r="D6" s="67"/>
      <c r="E6" s="78"/>
      <c r="F6" s="67"/>
      <c r="G6" s="67"/>
      <c r="H6" s="58"/>
      <c r="I6" s="58"/>
      <c r="J6" s="58"/>
      <c r="K6" s="67"/>
      <c r="L6" s="67"/>
      <c r="M6" s="67"/>
      <c r="N6" s="73"/>
      <c r="O6" s="18" t="s">
        <v>32</v>
      </c>
      <c r="P6" s="19">
        <f t="shared" si="18"/>
        <v>6662.18</v>
      </c>
      <c r="Q6" s="19">
        <f>COUNTIF(R1,"Ocak")*(AV15)
+COUNTIF(R1,"Şubat")*(AV16)
+COUNTIF(R1,"Mart")*(AV17)
+COUNTIF(R1,"Nisan")*(AV18)
+COUNTIF(R1,"Mayıs")*(AV19)
+COUNTIF(R1,"Haziran")*(AF9)
+COUNTIF(R1,"Temmuz")*(AF10)
+COUNTIF(R1,"Ağustos")*(AF11)
+COUNTIF(R1,"Eylül")*(AF15)
+COUNTIF(R1,"Ekim")*(AF16)
+COUNTIF(R1,"Kasım")*(AF17)
+COUNTIF(R1,"Aralık")*(AF18)
+COUNTIF(R1,"Yıllık Toplam")*(AF19)
+COUNTIF(R1,"Yıllık Ortalama")*(AF20)</f>
        <v>6662.18</v>
      </c>
      <c r="R6" s="72"/>
      <c r="S6" s="71"/>
      <c r="T6" s="24" t="s">
        <v>29</v>
      </c>
      <c r="U6" s="25" t="s">
        <v>152</v>
      </c>
      <c r="V6" s="60"/>
      <c r="W6" s="61"/>
      <c r="X6" s="63"/>
      <c r="Y6" s="62"/>
      <c r="Z6" s="30"/>
      <c r="AA6" s="32" t="s">
        <v>95</v>
      </c>
      <c r="AB6" s="33">
        <v>294.25</v>
      </c>
      <c r="AC6" s="33">
        <v>294.25</v>
      </c>
      <c r="AD6" s="33">
        <v>294.25</v>
      </c>
      <c r="AE6" s="38">
        <f ca="1">(AG6+AI6*-1+AL6*-1+AM6*-1+AP6*-1)</f>
        <v>1103.9399046000001</v>
      </c>
      <c r="AF6" s="38">
        <f>(48*F17)</f>
        <v>960</v>
      </c>
      <c r="AG6" s="38">
        <f>(AF6)</f>
        <v>960</v>
      </c>
      <c r="AH6" s="38">
        <f ca="1">ROUND((AG6+AI6*-1+AL6*-1+AM6*-1+AP6*-1),2)</f>
        <v>1103.94</v>
      </c>
      <c r="AI6" s="38">
        <f ca="1">(AH6*0.00759*-1)</f>
        <v>-8.3789046000000003</v>
      </c>
      <c r="AJ6" s="38">
        <f>(10.01*F17)</f>
        <v>200.2</v>
      </c>
      <c r="AK6" s="38">
        <f ca="1">(AH6-AJ6)</f>
        <v>903.74</v>
      </c>
      <c r="AL6" s="38">
        <f ca="1">(AK6*0.14*-1)</f>
        <v>-126.52360000000002</v>
      </c>
      <c r="AM6" s="38">
        <f ca="1">(AK6*0.01*-1)</f>
        <v>-9.0373999999999999</v>
      </c>
      <c r="AN6" s="38">
        <f>(0)</f>
        <v>0</v>
      </c>
      <c r="AO6" s="38">
        <f ca="1">(AH6+AL6+AM6-AN6)</f>
        <v>968.37900000000002</v>
      </c>
      <c r="AP6" s="38">
        <f>(0)</f>
        <v>0</v>
      </c>
      <c r="AT6" s="38">
        <f t="shared" si="1"/>
        <v>0</v>
      </c>
      <c r="AU6" s="38">
        <f t="shared" si="2"/>
        <v>0</v>
      </c>
      <c r="AV6" s="38">
        <f t="shared" si="3"/>
        <v>2071.734666017735</v>
      </c>
      <c r="AW6" s="38">
        <f>(AP3/8*1.3*D20)</f>
        <v>1745.25</v>
      </c>
      <c r="AX6" s="38">
        <f t="shared" si="4"/>
        <v>0</v>
      </c>
      <c r="AY6" s="38">
        <f>(AP3/8*2*E20)</f>
        <v>0</v>
      </c>
      <c r="AZ6" s="38">
        <f ca="1">(BB6+BD6*-1+BG6*-1+BH6*-1+BK6*-1)</f>
        <v>1103.9399046000001</v>
      </c>
      <c r="BA6" s="38">
        <f t="shared" ref="BA6:BA12" si="19">(48*F20)</f>
        <v>960</v>
      </c>
      <c r="BB6" s="38">
        <f>(BA6)</f>
        <v>960</v>
      </c>
      <c r="BC6" s="38">
        <f ca="1">ROUND((BB6+BD6*-1+BG6*-1+BH6*-1+BK6*-1),2)</f>
        <v>1103.94</v>
      </c>
      <c r="BD6" s="38">
        <f ca="1">(BC6*0.00759*-1)</f>
        <v>-8.3789046000000003</v>
      </c>
      <c r="BE6" s="38">
        <f>(10.01*F20)</f>
        <v>200.2</v>
      </c>
      <c r="BF6" s="38">
        <f ca="1">(BC6-BE6)</f>
        <v>903.74</v>
      </c>
      <c r="BG6" s="38">
        <f ca="1">(BF6*0.14*-1)</f>
        <v>-126.52360000000002</v>
      </c>
      <c r="BH6" s="38">
        <f ca="1">(BF6*0.01*-1)</f>
        <v>-9.0373999999999999</v>
      </c>
      <c r="BI6" s="38">
        <f>(0)</f>
        <v>0</v>
      </c>
      <c r="BJ6" s="38">
        <f ca="1">(BC6+BG6+BH6-BI6)</f>
        <v>968.37900000000002</v>
      </c>
      <c r="BK6" s="38">
        <f>(0)</f>
        <v>0</v>
      </c>
      <c r="BO6" s="38">
        <f>(BH15+BH16+BH17+BH18+BH19+BH20+BH21+AZ1+AZ2+AZ3+AZ4+AZ5)</f>
        <v>8100</v>
      </c>
      <c r="BQ6" s="38">
        <f>(BJ15+BJ16+BJ17+BJ18+BJ19+BJ20+BJ21+BA1+BA2+BA3+BA4+BA5)</f>
        <v>0</v>
      </c>
      <c r="BR6" s="38">
        <f>(BK15+BK16+BK17+BK18+BK19+BK20+BK21+BB1+BB2+BB3+BB4+BB5)</f>
        <v>0</v>
      </c>
      <c r="BS6" s="36" t="s">
        <v>0</v>
      </c>
      <c r="BT6" s="38">
        <f>(BM15+BM16+BM17+BM18+BM19+BM20+BM21+BD1+BD2+BD3+BD4+BD5)</f>
        <v>4760.76</v>
      </c>
      <c r="BU6" s="38">
        <f>(BN15+BN16+BN17+BN18+BN19+BN20+BN21+BE1+BE2+BE3+BE4+BE5)</f>
        <v>4724.6258316000012</v>
      </c>
      <c r="BV6" s="38">
        <f>(BO15+BO16+BO17+BO18+BO19+BO20+BO21+BF1+BF2+BF3+BF4+BF5)</f>
        <v>4760.76</v>
      </c>
      <c r="BW6" s="45" t="s">
        <v>66</v>
      </c>
      <c r="BX6" s="39">
        <v>4195</v>
      </c>
      <c r="CA6" s="38">
        <f>(0)</f>
        <v>0</v>
      </c>
      <c r="CB6" s="49">
        <f>(0%)</f>
        <v>0</v>
      </c>
      <c r="CK6" s="44">
        <f t="shared" si="6"/>
        <v>0.15</v>
      </c>
      <c r="CL6" s="38">
        <f>(ROUND(BZ12*CK6,2))</f>
        <v>638.01</v>
      </c>
      <c r="CM6" s="44">
        <f t="shared" si="7"/>
        <v>0.84491000000000005</v>
      </c>
      <c r="CN6" s="38">
        <f>BK22</f>
        <v>5004</v>
      </c>
      <c r="CO6" s="38">
        <f>BK22+BN22+BQ22+BR22</f>
        <v>4253.3999999999996</v>
      </c>
      <c r="CP6" s="38" t="s">
        <v>0</v>
      </c>
      <c r="CQ6" s="38">
        <f ca="1">(AR3+AT6+AV6+AX6+AZ6+AE9+AK9+AN9+AQ9+BJ20+BM20+BG1)</f>
        <v>24379.743040009125</v>
      </c>
      <c r="CR6" s="38">
        <f ca="1">(AR3+AT6+AV6+AX6+AZ6+AE9+AK9+AN9+AQ9+BJ20+BM20+BG1)</f>
        <v>24379.743040009125</v>
      </c>
      <c r="CS6" s="38">
        <f t="shared" ca="1" si="8"/>
        <v>-185.04224967366926</v>
      </c>
      <c r="CT6" s="38">
        <f>(BL22)</f>
        <v>5004</v>
      </c>
      <c r="CU6" s="38">
        <f t="shared" si="9"/>
        <v>-37.980360000000005</v>
      </c>
      <c r="CV6" s="38">
        <f t="shared" ca="1" si="10"/>
        <v>19375.743040009125</v>
      </c>
      <c r="CW6" s="38">
        <f t="shared" ca="1" si="11"/>
        <v>-147.06188967366927</v>
      </c>
      <c r="DF6" s="42">
        <v>4</v>
      </c>
      <c r="DG6" s="46">
        <v>2</v>
      </c>
      <c r="DH6" s="47">
        <v>0.06</v>
      </c>
      <c r="DI6" s="55"/>
    </row>
    <row r="7" spans="1:113" ht="39.950000000000003" customHeight="1" x14ac:dyDescent="0.25">
      <c r="A7" s="76"/>
      <c r="B7" s="77"/>
      <c r="C7" s="67"/>
      <c r="D7" s="67"/>
      <c r="E7" s="78"/>
      <c r="F7" s="67"/>
      <c r="G7" s="67"/>
      <c r="H7" s="58"/>
      <c r="I7" s="58"/>
      <c r="J7" s="58"/>
      <c r="K7" s="67"/>
      <c r="L7" s="67"/>
      <c r="M7" s="67"/>
      <c r="N7" s="73"/>
      <c r="O7" s="18" t="s">
        <v>37</v>
      </c>
      <c r="P7" s="19">
        <f t="shared" si="18"/>
        <v>33250</v>
      </c>
      <c r="Q7" s="19">
        <f>COUNTIF(R1,"Ocak")*(BB15)
+COUNTIF(R1,"Şubat")*(BB16)
+COUNTIF(R1,"Mart")*(BB17)
+COUNTIF(R1,"Nisan")*(BB18)
+COUNTIF(R1,"Mayıs")*(BB19)
+COUNTIF(R1,"Haziran")*(AL9)
+COUNTIF(R1,"Temmuz")*(AL10)
+COUNTIF(R1,"Ağustos")*(AL11)
+COUNTIF(R1,"Eylül")*(AL15)
+COUNTIF(R1,"Ekim")*(AL16)
+COUNTIF(R1,"Kasım")*(AL17)
+COUNTIF(R1,"Aralık")*(AL18)
+COUNTIF(R1,"Yıllık Toplam")*(AL19)
+COUNTIF(R1,"Yıllık Ortalama")*(AL20)</f>
        <v>33250</v>
      </c>
      <c r="R7" s="72"/>
      <c r="S7" s="71"/>
      <c r="T7" s="24" t="s">
        <v>30</v>
      </c>
      <c r="U7" s="25" t="s">
        <v>153</v>
      </c>
      <c r="V7" s="60"/>
      <c r="W7" s="61"/>
      <c r="X7" s="63"/>
      <c r="Y7" s="62"/>
      <c r="Z7" s="30"/>
      <c r="AA7" s="32" t="s">
        <v>96</v>
      </c>
      <c r="AB7" s="33">
        <v>294.25</v>
      </c>
      <c r="AC7" s="33">
        <v>294.25</v>
      </c>
      <c r="AD7" s="33">
        <v>294.25</v>
      </c>
      <c r="AE7" s="38">
        <f ca="1">(AG7+AI7*-1+AL7*-1+AM7*-1+AP7*-1)</f>
        <v>1103.9399046000001</v>
      </c>
      <c r="AF7" s="38">
        <f>(48*F18)</f>
        <v>960</v>
      </c>
      <c r="AG7" s="38">
        <f>(AF7)</f>
        <v>960</v>
      </c>
      <c r="AH7" s="38">
        <f ca="1">ROUND((AG7+AI7*-1+AL7*-1+AM7*-1+AP7*-1),2)</f>
        <v>1103.94</v>
      </c>
      <c r="AI7" s="38">
        <f ca="1">(AH7*0.00759*-1)</f>
        <v>-8.3789046000000003</v>
      </c>
      <c r="AJ7" s="38">
        <f>(10.01*F18)</f>
        <v>200.2</v>
      </c>
      <c r="AK7" s="38">
        <f ca="1">(AH7-AJ7)</f>
        <v>903.74</v>
      </c>
      <c r="AL7" s="38">
        <f ca="1">(AK7*0.14*-1)</f>
        <v>-126.52360000000002</v>
      </c>
      <c r="AM7" s="38">
        <f ca="1">(AK7*0.01*-1)</f>
        <v>-9.0373999999999999</v>
      </c>
      <c r="AN7" s="38">
        <f>(0)</f>
        <v>0</v>
      </c>
      <c r="AO7" s="38">
        <f ca="1">(AH7+AL7+AM7-AN7)</f>
        <v>968.37900000000002</v>
      </c>
      <c r="AP7" s="38">
        <f>(0)</f>
        <v>0</v>
      </c>
      <c r="AT7" s="38">
        <f t="shared" si="1"/>
        <v>0</v>
      </c>
      <c r="AU7" s="38">
        <f t="shared" si="2"/>
        <v>0</v>
      </c>
      <c r="AV7" s="38">
        <f t="shared" si="3"/>
        <v>2071.734666017735</v>
      </c>
      <c r="AW7" s="38">
        <f t="shared" ref="AW7:AW12" si="20">(AP21/8*1.3*D21)</f>
        <v>1745.25</v>
      </c>
      <c r="AX7" s="38">
        <f t="shared" si="4"/>
        <v>0</v>
      </c>
      <c r="AY7" s="38">
        <f t="shared" ref="AY7:AY12" si="21">(AP21/8*2*E21)</f>
        <v>0</v>
      </c>
      <c r="AZ7" s="38">
        <f ca="1">(BB7+BD7*-1+BG7*-1+BH7*-1+BK7*-1)</f>
        <v>1093.5062409</v>
      </c>
      <c r="BA7" s="38">
        <f t="shared" si="19"/>
        <v>960</v>
      </c>
      <c r="BB7" s="38">
        <f>(BA7)</f>
        <v>960</v>
      </c>
      <c r="BC7" s="38">
        <f ca="1">ROUND((BB7+BD7*-1+BG7*-1+BH7*-1+BK7*-1),2)</f>
        <v>1093.51</v>
      </c>
      <c r="BD7" s="38">
        <f ca="1">(BC7*0.00759*-1)</f>
        <v>-8.2997408999999998</v>
      </c>
      <c r="BE7" s="38">
        <f t="shared" ref="BE7:BE12" si="22">(12.94*F21)</f>
        <v>258.8</v>
      </c>
      <c r="BF7" s="38">
        <f ca="1">(BC7-BE7)</f>
        <v>834.71</v>
      </c>
      <c r="BG7" s="38">
        <f ca="1">(BF7*0.14*-1)</f>
        <v>-116.85940000000002</v>
      </c>
      <c r="BH7" s="38">
        <f ca="1">(BF7*0.01*-1)</f>
        <v>-8.3471000000000011</v>
      </c>
      <c r="BI7" s="38">
        <f>(0)</f>
        <v>0</v>
      </c>
      <c r="BJ7" s="38">
        <f ca="1">(BC7+BG7+BH7-BI7)</f>
        <v>968.30349999999999</v>
      </c>
      <c r="BK7" s="38">
        <f>(0)</f>
        <v>0</v>
      </c>
      <c r="BO7" s="38">
        <f>(BO6/12)</f>
        <v>675</v>
      </c>
      <c r="BQ7" s="38">
        <f t="shared" ref="BQ7:BR7" si="23">(BQ6/12)</f>
        <v>0</v>
      </c>
      <c r="BR7" s="38">
        <f t="shared" si="23"/>
        <v>0</v>
      </c>
      <c r="BS7" s="36" t="s">
        <v>0</v>
      </c>
      <c r="BT7" s="38">
        <f t="shared" ref="BT7" si="24">(BT6/12)</f>
        <v>396.73</v>
      </c>
      <c r="BU7" s="38">
        <f t="shared" ref="BU7" si="25">(BU6/12)</f>
        <v>393.71881930000012</v>
      </c>
      <c r="BV7" s="38">
        <f t="shared" ref="BV7" si="26">(BV6/12)</f>
        <v>396.73</v>
      </c>
      <c r="BW7" s="45" t="s">
        <v>143</v>
      </c>
      <c r="BX7" s="39">
        <v>110.27</v>
      </c>
      <c r="BY7" s="38">
        <f>(0)</f>
        <v>0</v>
      </c>
      <c r="BZ7" s="38">
        <f>(CC1+CI1+CJ1-BY7)</f>
        <v>4253.3999999999996</v>
      </c>
      <c r="CA7" s="38">
        <f>SUM(BZ$7:$BZ7)</f>
        <v>4253.3999999999996</v>
      </c>
      <c r="CB7" s="49">
        <f t="shared" ref="CB7:CB18" si="27">IF(CA7&lt;=$BO$1,$BM$1,
IF(CA7&gt;$BO$3,
IF(CA7&gt;$BO$4,$BM$5,$BM$4),
IF(CA7&lt;$BO$2,$BM$2,$BM$3)))</f>
        <v>0.15</v>
      </c>
      <c r="CC7" s="40">
        <f>IF(CB7-CB6=0,0,1)</f>
        <v>1</v>
      </c>
      <c r="CF7" s="38">
        <f>(0)</f>
        <v>0</v>
      </c>
      <c r="CG7" s="49">
        <f>(0%)</f>
        <v>0</v>
      </c>
      <c r="CJ7" s="44">
        <f>IF(CC17=0,CB17,(VLOOKUP($CB17,$BM$1:$BP$5,2,0)-CA16)/BZ17*CB16+(CA17-VLOOKUP($CB17,$BM$1:$BP$5,2,0))/BZ17*CB17)</f>
        <v>0.2</v>
      </c>
      <c r="CK7" s="38">
        <f>(ROUND(BZ17*CJ7,2))</f>
        <v>1100.07</v>
      </c>
      <c r="CL7" s="44">
        <f>(100+(100*0.00759*-1)+(100*0.01*-1)+(100*0.01*-1)+(100+100*0.14*-1+100*0.01*-1)*CJ7*-1)/100</f>
        <v>0.80240999999999996</v>
      </c>
      <c r="CM7" s="38">
        <f>AY26</f>
        <v>6471</v>
      </c>
      <c r="CN7" s="38">
        <f>AY26+BB26+BE26+BF26</f>
        <v>5500.3499999999995</v>
      </c>
      <c r="CO7" s="38" t="s">
        <v>0</v>
      </c>
      <c r="CP7" s="38">
        <f ca="1">(AR25+AT11+AV11+AX11+AZ11+AE17+AK17+AN17+AQ17+BA4+BD4+BA20)</f>
        <v>17436.669687796402</v>
      </c>
      <c r="CQ7" s="38">
        <f ca="1">(AR25+AT11+AV11+AX11+AZ11+AE17+AK17+AN17+AQ17+BA4+BD4+BA20)</f>
        <v>17436.669687796402</v>
      </c>
      <c r="CR7" s="38">
        <f ca="1">(CQ7*0.00759*-1)</f>
        <v>-132.34432293037469</v>
      </c>
      <c r="CS7" s="38">
        <f>(AZ26)</f>
        <v>6471</v>
      </c>
      <c r="CT7" s="38">
        <f>(CS7*0.00759*-1)</f>
        <v>-49.114890000000003</v>
      </c>
      <c r="CU7" s="38">
        <f ca="1">(CQ7-CS7)</f>
        <v>10965.669687796402</v>
      </c>
      <c r="CV7" s="38">
        <f ca="1">(CU7*0.00759*-1)</f>
        <v>-83.229432930374699</v>
      </c>
      <c r="CW7" s="38">
        <f ca="1">(CR7)</f>
        <v>-132.34432293037469</v>
      </c>
      <c r="CX7" s="38">
        <f>(BE11+AH17+BD4+BB20)</f>
        <v>655.53</v>
      </c>
      <c r="CY7" s="38">
        <f ca="1">(CQ7-CX7)</f>
        <v>16781.139687796403</v>
      </c>
      <c r="CZ7" s="38">
        <f ca="1">IF(CY7&gt;=AY26*7.5,AY26*7.5,CY7)</f>
        <v>16781.139687796403</v>
      </c>
      <c r="DA7" s="38">
        <f ca="1">(CZ7*0.14*-1)</f>
        <v>-2349.3595562914966</v>
      </c>
      <c r="DB7" s="38">
        <f ca="1">(CZ7*0.01*-1)</f>
        <v>-167.81139687796403</v>
      </c>
      <c r="DF7" s="42">
        <v>5</v>
      </c>
      <c r="DG7" s="46">
        <v>2.5</v>
      </c>
      <c r="DH7" s="47">
        <v>7.0000000000000007E-2</v>
      </c>
      <c r="DI7" s="55"/>
    </row>
    <row r="8" spans="1:113" ht="39.950000000000003" customHeight="1" x14ac:dyDescent="0.25">
      <c r="A8" s="76"/>
      <c r="B8" s="77"/>
      <c r="C8" s="67"/>
      <c r="D8" s="67"/>
      <c r="E8" s="78"/>
      <c r="F8" s="67"/>
      <c r="G8" s="67"/>
      <c r="H8" s="58"/>
      <c r="I8" s="58"/>
      <c r="J8" s="58"/>
      <c r="K8" s="67"/>
      <c r="L8" s="67"/>
      <c r="M8" s="67"/>
      <c r="N8" s="73"/>
      <c r="O8" s="18" t="s">
        <v>10</v>
      </c>
      <c r="P8" s="19">
        <f t="shared" si="18"/>
        <v>6795.7199999999975</v>
      </c>
      <c r="Q8" s="19">
        <f>COUNTIF(R1,"Ocak")*(BE15)
+COUNTIF(R1,"Şubat")*(BE16)
+COUNTIF(R1,"Mart")*(BE17)
+COUNTIF(R1,"Nisan")*(BE18)
+COUNTIF(R1,"Mayıs")*(BE19)
+COUNTIF(R1,"Haziran")*(AO9)
+COUNTIF(R1,"Temmuz")*(AO10)
+COUNTIF(R1,"Ağustos")*(AO11)
+COUNTIF(R1,"Eylül")*(AO15)
+COUNTIF(R1,"Ekim")*(AO16)
+COUNTIF(R1,"Kasım")*(AO17)
+COUNTIF(R1,"Aralık")*(AO18)
+COUNTIF(R1,"Yıllık Toplam")*(AO19)
+COUNTIF(R1,"Yıllık Ortalama")*(AO20)</f>
        <v>6795.7199999999975</v>
      </c>
      <c r="R8" s="72"/>
      <c r="S8" s="71"/>
      <c r="T8" s="24" t="s">
        <v>48</v>
      </c>
      <c r="U8" s="26" t="s">
        <v>52</v>
      </c>
      <c r="V8" s="60"/>
      <c r="W8" s="61"/>
      <c r="X8" s="63"/>
      <c r="Y8" s="62"/>
      <c r="Z8" s="30"/>
      <c r="AA8" s="45" t="s">
        <v>79</v>
      </c>
      <c r="AB8" s="33">
        <v>294.25</v>
      </c>
      <c r="AC8" s="33">
        <v>294.25</v>
      </c>
      <c r="AD8" s="33">
        <v>294.25</v>
      </c>
      <c r="AE8" s="38">
        <f ca="1">(AG8+AI8*-1+AL8*-1+AM8*-1+AP8*-1)</f>
        <v>1103.9399046000001</v>
      </c>
      <c r="AF8" s="38">
        <f>(48*F19)</f>
        <v>960</v>
      </c>
      <c r="AG8" s="38">
        <f>(AF8)</f>
        <v>960</v>
      </c>
      <c r="AH8" s="38">
        <f ca="1">ROUND((AG8+AI8*-1+AL8*-1+AM8*-1+AP8*-1),2)</f>
        <v>1103.94</v>
      </c>
      <c r="AI8" s="38">
        <f ca="1">(AH8*0.00759*-1)</f>
        <v>-8.3789046000000003</v>
      </c>
      <c r="AJ8" s="38">
        <f>(10.01*F19)</f>
        <v>200.2</v>
      </c>
      <c r="AK8" s="38">
        <f ca="1">(AH8-AJ8)</f>
        <v>903.74</v>
      </c>
      <c r="AL8" s="38">
        <f ca="1">(AK8*0.14*-1)</f>
        <v>-126.52360000000002</v>
      </c>
      <c r="AM8" s="38">
        <f ca="1">(AK8*0.01*-1)</f>
        <v>-9.0373999999999999</v>
      </c>
      <c r="AN8" s="38">
        <f>(0)</f>
        <v>0</v>
      </c>
      <c r="AO8" s="38">
        <f ca="1">(AH8+AL8+AM8-AN8)</f>
        <v>968.37900000000002</v>
      </c>
      <c r="AP8" s="38">
        <f>(0)</f>
        <v>0</v>
      </c>
      <c r="AT8" s="38">
        <f t="shared" si="1"/>
        <v>0</v>
      </c>
      <c r="AU8" s="38">
        <f t="shared" si="2"/>
        <v>0</v>
      </c>
      <c r="AV8" s="38">
        <f t="shared" si="3"/>
        <v>2071.734666017735</v>
      </c>
      <c r="AW8" s="38">
        <f t="shared" si="20"/>
        <v>1745.25</v>
      </c>
      <c r="AX8" s="38">
        <f t="shared" si="4"/>
        <v>0</v>
      </c>
      <c r="AY8" s="38">
        <f t="shared" si="21"/>
        <v>0</v>
      </c>
      <c r="AZ8" s="38">
        <f t="shared" ref="AZ8:AZ12" ca="1" si="28">(BB8+BD8*-1+BG8*-1+BH8*-1+BK8*-1)</f>
        <v>1093.5062409</v>
      </c>
      <c r="BA8" s="38">
        <f t="shared" si="19"/>
        <v>960</v>
      </c>
      <c r="BB8" s="38">
        <f t="shared" ref="BB8:BB12" si="29">(BA8)</f>
        <v>960</v>
      </c>
      <c r="BC8" s="38">
        <f t="shared" ref="BC8:BC12" ca="1" si="30">ROUND((BB8+BD8*-1+BG8*-1+BH8*-1+BK8*-1),2)</f>
        <v>1093.51</v>
      </c>
      <c r="BD8" s="38">
        <f t="shared" ref="BD8:BD12" ca="1" si="31">(BC8*0.00759*-1)</f>
        <v>-8.2997408999999998</v>
      </c>
      <c r="BE8" s="38">
        <f t="shared" si="22"/>
        <v>258.8</v>
      </c>
      <c r="BF8" s="38">
        <f t="shared" ref="BF8:BF12" ca="1" si="32">(BC8-BE8)</f>
        <v>834.71</v>
      </c>
      <c r="BG8" s="38">
        <f t="shared" ref="BG8:BG12" ca="1" si="33">(BF8*0.14*-1)</f>
        <v>-116.85940000000002</v>
      </c>
      <c r="BH8" s="38">
        <f t="shared" ref="BH8:BH12" ca="1" si="34">(BF8*0.01*-1)</f>
        <v>-8.3471000000000011</v>
      </c>
      <c r="BI8" s="38">
        <f>(0)</f>
        <v>0</v>
      </c>
      <c r="BJ8" s="38">
        <f t="shared" ref="BJ8:BJ12" ca="1" si="35">(BC8+BG8+BH8-BI8)</f>
        <v>968.30349999999999</v>
      </c>
      <c r="BK8" s="38">
        <f>(0)</f>
        <v>0</v>
      </c>
      <c r="BS8" s="38" t="s">
        <v>0</v>
      </c>
      <c r="BT8" s="38" t="s">
        <v>0</v>
      </c>
      <c r="BU8" s="38" t="s">
        <v>0</v>
      </c>
      <c r="BV8" s="38" t="s">
        <v>0</v>
      </c>
      <c r="BW8" s="45" t="s">
        <v>3</v>
      </c>
      <c r="BX8" s="39">
        <v>3146.25</v>
      </c>
      <c r="BY8" s="38">
        <f>(0)</f>
        <v>0</v>
      </c>
      <c r="BZ8" s="38">
        <f>(CC2+CI2+CJ2-BY8)</f>
        <v>4253.3999999999996</v>
      </c>
      <c r="CA8" s="38">
        <f>SUM(BZ$7:$BZ8)</f>
        <v>8506.7999999999993</v>
      </c>
      <c r="CB8" s="49">
        <f t="shared" si="27"/>
        <v>0.15</v>
      </c>
      <c r="CC8" s="40">
        <f t="shared" ref="CC8:CC18" si="36">IF(CB8-CB7=0,0,1)</f>
        <v>0</v>
      </c>
      <c r="CD8" s="38">
        <f>(AN4+AY15+AV20+AZ20)</f>
        <v>286.85556914091711</v>
      </c>
      <c r="CE8" s="38">
        <f t="shared" ref="CE8:CE13" ca="1" si="37">(CR1+BU17+BV17-CD8)</f>
        <v>12232.917716843769</v>
      </c>
      <c r="CF8" s="38">
        <f ca="1">SUM($CE$8:CE8)</f>
        <v>12232.917716843769</v>
      </c>
      <c r="CG8" s="49">
        <f t="shared" ref="CG8:CG19" ca="1" si="38">IF(CF8&lt;=$BO$1,$BM$1,
IF(CF8&gt;$BO$3,
IF(CF8&gt;$BO$4,$BM$5,$BM$4),
IF(CF8&lt;$BO$2,$BM$2,$BM$3)))</f>
        <v>0.15</v>
      </c>
      <c r="CH8" s="40">
        <f ca="1">IF(CG8-CG7=0,0,1)</f>
        <v>1</v>
      </c>
      <c r="CI8" s="44">
        <f>(0)</f>
        <v>0</v>
      </c>
      <c r="CJ8" s="44">
        <f>IF(CC18=0,CB18,(VLOOKUP($CB18,$BM$1:$BP$5,2,0)-CA17)/BZ18*CB17+(CA18-VLOOKUP($CB18,$BM$1:$BP$5,2,0))/BZ18*CB18)</f>
        <v>0.2</v>
      </c>
      <c r="CK8" s="38">
        <f>(ROUND(BZ18*CJ8,2))</f>
        <v>1100.07</v>
      </c>
      <c r="CL8" s="44">
        <f>(100+(100*0.00759*-1)+(100*0.01*-1)+(100*0.01*-1)+(100+100*0.14*-1+100*0.01*-1)*CJ8*-1)/100</f>
        <v>0.80240999999999996</v>
      </c>
      <c r="CM8" s="38">
        <f>AY27</f>
        <v>6471</v>
      </c>
      <c r="CN8" s="38">
        <f>AY27+BB27+BE27+BF27</f>
        <v>5500.3499999999995</v>
      </c>
      <c r="CO8" s="38" t="s">
        <v>0</v>
      </c>
      <c r="CP8" s="38">
        <f ca="1">(AR26+AT12+AV12+AX12+AZ12+AE18+AK18+AN18+AQ18+BA5+BD5+BA21)</f>
        <v>28264.829372510496</v>
      </c>
      <c r="CQ8" s="38">
        <f ca="1">(AR26+AT12+AV12+AX12+AZ12+AE18+AK18+AN18+AQ18+BA5+BD5+BA21)</f>
        <v>28264.829372510496</v>
      </c>
      <c r="CR8" s="38">
        <f ca="1">(CQ8*0.00759*-1)</f>
        <v>-214.53005493735466</v>
      </c>
      <c r="CS8" s="38">
        <f>(AZ27)</f>
        <v>6471</v>
      </c>
      <c r="CT8" s="38">
        <f>(CS8*0.00759*-1)</f>
        <v>-49.114890000000003</v>
      </c>
      <c r="CU8" s="38">
        <f ca="1">(CQ8-CS8)</f>
        <v>21793.829372510496</v>
      </c>
      <c r="CV8" s="38">
        <f ca="1">(CU8*0.00759*-1)</f>
        <v>-165.41516493735466</v>
      </c>
      <c r="CW8" s="38">
        <f ca="1">(CR8)</f>
        <v>-214.53005493735466</v>
      </c>
      <c r="CX8" s="38">
        <f>(BE12+AH18+BD5+BB21)</f>
        <v>655.53</v>
      </c>
      <c r="CY8" s="38">
        <f ca="1">(CQ8-CX8)</f>
        <v>27609.299372510497</v>
      </c>
      <c r="CZ8" s="38">
        <f ca="1">IF(CY8&gt;=AY27*7.5,AY27*7.5,CY8)</f>
        <v>27609.299372510497</v>
      </c>
      <c r="DA8" s="38">
        <f ca="1">(CZ8*0.14*-1)</f>
        <v>-3865.3019121514699</v>
      </c>
      <c r="DB8" s="38">
        <f ca="1">(CZ8*0.01*-1)</f>
        <v>-276.09299372510498</v>
      </c>
      <c r="DF8" s="42">
        <v>6</v>
      </c>
      <c r="DG8" s="46">
        <v>3</v>
      </c>
      <c r="DH8" s="47">
        <v>0.08</v>
      </c>
      <c r="DI8" s="55"/>
    </row>
    <row r="9" spans="1:113" ht="39.950000000000003" customHeight="1" x14ac:dyDescent="0.25">
      <c r="A9" s="76"/>
      <c r="B9" s="77"/>
      <c r="C9" s="67"/>
      <c r="D9" s="67"/>
      <c r="E9" s="78"/>
      <c r="F9" s="67"/>
      <c r="G9" s="67"/>
      <c r="H9" s="58"/>
      <c r="I9" s="58"/>
      <c r="J9" s="58"/>
      <c r="K9" s="67"/>
      <c r="L9" s="67"/>
      <c r="M9" s="67"/>
      <c r="N9" s="73"/>
      <c r="O9" s="18" t="s">
        <v>145</v>
      </c>
      <c r="P9" s="19">
        <f t="shared" ref="P9:P10" si="39">IF(Q9&gt;0,Q9,Q9*-1)</f>
        <v>8100</v>
      </c>
      <c r="Q9" s="19">
        <f>COUNTIF(R1,"Ocak")*(BH15)
+COUNTIF(R1,"Şubat")*(BH16)
+COUNTIF(R1,"Mart")*(BH17)
+COUNTIF(R1,"Nisan")*(BH18)
+COUNTIF(R1,"Mayıs")*(BH19)
+COUNTIF(R1,"Haziran")*(BH20)
+COUNTIF(R1,"Temmuz")*(BH21)
+COUNTIF(R1,"Ağustos")*(AZ1)
+COUNTIF(R1,"Eylül")*(AZ2)
+COUNTIF(R1,"Ekim")*(AZ3)
+COUNTIF(R1,"Kasım")*(AZ4)
+COUNTIF(R1,"Aralık")*(AZ5)
+COUNTIF(R1,"Yıllık Toplam")*(BO6)
+COUNTIF(R1,"Yıllık Ortalama")*(BO7)</f>
        <v>8100</v>
      </c>
      <c r="R9" s="72"/>
      <c r="S9" s="71"/>
      <c r="T9" s="24" t="s">
        <v>43</v>
      </c>
      <c r="U9" s="25" t="s">
        <v>154</v>
      </c>
      <c r="V9" s="60"/>
      <c r="W9" s="61"/>
      <c r="X9" s="63"/>
      <c r="Y9" s="62"/>
      <c r="Z9" s="30"/>
      <c r="AA9" s="45" t="s">
        <v>97</v>
      </c>
      <c r="AB9" s="33">
        <v>285.37</v>
      </c>
      <c r="AC9" s="33">
        <v>285.37</v>
      </c>
      <c r="AD9" s="33">
        <v>285.37</v>
      </c>
      <c r="AE9" s="38">
        <f>(AF9/CM16)</f>
        <v>714.61639819090465</v>
      </c>
      <c r="AF9" s="38">
        <f>(602/30*AT20)</f>
        <v>602</v>
      </c>
      <c r="AG9" s="38">
        <f>(0)</f>
        <v>0</v>
      </c>
      <c r="AH9" s="38">
        <f>(0)</f>
        <v>0</v>
      </c>
      <c r="AI9" s="38">
        <f>(0)</f>
        <v>0</v>
      </c>
      <c r="AJ9" s="50">
        <v>30</v>
      </c>
      <c r="AK9" s="38">
        <f>(AL9/CM16)</f>
        <v>9561.8523046972387</v>
      </c>
      <c r="AL9" s="38">
        <f>(AP3*AJ9)</f>
        <v>8055</v>
      </c>
      <c r="AM9" s="50">
        <v>30</v>
      </c>
      <c r="AN9" s="38">
        <f>(AO9/CM16)</f>
        <v>672.24985458387243</v>
      </c>
      <c r="AO9" s="38">
        <f>(566.31/30*AM9)</f>
        <v>566.30999999999995</v>
      </c>
      <c r="AP9" s="50">
        <v>30</v>
      </c>
      <c r="AQ9" s="38">
        <f>(BH20/CM16)</f>
        <v>296.76760722213652</v>
      </c>
      <c r="AT9" s="38">
        <f t="shared" si="1"/>
        <v>0</v>
      </c>
      <c r="AU9" s="38">
        <f t="shared" si="2"/>
        <v>0</v>
      </c>
      <c r="AV9" s="38">
        <f t="shared" si="3"/>
        <v>2270.4205790529554</v>
      </c>
      <c r="AW9" s="38">
        <f t="shared" si="20"/>
        <v>1912.6250000000002</v>
      </c>
      <c r="AX9" s="38">
        <f t="shared" si="4"/>
        <v>0</v>
      </c>
      <c r="AY9" s="38">
        <f t="shared" si="21"/>
        <v>0</v>
      </c>
      <c r="AZ9" s="38">
        <f t="shared" ca="1" si="28"/>
        <v>1093.5062409</v>
      </c>
      <c r="BA9" s="38">
        <f t="shared" si="19"/>
        <v>960</v>
      </c>
      <c r="BB9" s="38">
        <f t="shared" si="29"/>
        <v>960</v>
      </c>
      <c r="BC9" s="38">
        <f t="shared" ca="1" si="30"/>
        <v>1093.51</v>
      </c>
      <c r="BD9" s="38">
        <f t="shared" ca="1" si="31"/>
        <v>-8.2997408999999998</v>
      </c>
      <c r="BE9" s="38">
        <f t="shared" si="22"/>
        <v>258.8</v>
      </c>
      <c r="BF9" s="38">
        <f t="shared" ca="1" si="32"/>
        <v>834.71</v>
      </c>
      <c r="BG9" s="38">
        <f t="shared" ca="1" si="33"/>
        <v>-116.85940000000002</v>
      </c>
      <c r="BH9" s="38">
        <f t="shared" ca="1" si="34"/>
        <v>-8.3471000000000011</v>
      </c>
      <c r="BI9" s="38">
        <f>(0)</f>
        <v>0</v>
      </c>
      <c r="BJ9" s="38">
        <f t="shared" ca="1" si="35"/>
        <v>968.30349999999999</v>
      </c>
      <c r="BK9" s="38">
        <f>(0)</f>
        <v>0</v>
      </c>
      <c r="BS9" s="38" t="s">
        <v>0</v>
      </c>
      <c r="BT9" s="38" t="s">
        <v>0</v>
      </c>
      <c r="BU9" s="38" t="s">
        <v>0</v>
      </c>
      <c r="BV9" s="38" t="s">
        <v>0</v>
      </c>
      <c r="BW9" s="45" t="s">
        <v>144</v>
      </c>
      <c r="BX9" s="39">
        <v>471.91</v>
      </c>
      <c r="BY9" s="38">
        <f>(0)</f>
        <v>0</v>
      </c>
      <c r="BZ9" s="38">
        <f>(CC3+CI3+CJ3-BY9)</f>
        <v>4253.3999999999996</v>
      </c>
      <c r="CA9" s="38">
        <f>SUM(BZ$7:$BZ9)</f>
        <v>12760.199999999999</v>
      </c>
      <c r="CB9" s="49">
        <f t="shared" si="27"/>
        <v>0.15</v>
      </c>
      <c r="CC9" s="40">
        <f t="shared" si="36"/>
        <v>0</v>
      </c>
      <c r="CD9" s="38">
        <f>(AN5+AY16+AV21+AZ21)</f>
        <v>286.85556914091711</v>
      </c>
      <c r="CE9" s="38">
        <f t="shared" ca="1" si="37"/>
        <v>11420.160270944503</v>
      </c>
      <c r="CF9" s="38">
        <f ca="1">SUM($CE$8:CE9)</f>
        <v>23653.077987788274</v>
      </c>
      <c r="CG9" s="49">
        <f t="shared" ca="1" si="38"/>
        <v>0.15</v>
      </c>
      <c r="CH9" s="40">
        <f t="shared" ref="CH9:CH19" ca="1" si="40">IF(CG9-CG8=0,0,1)</f>
        <v>0</v>
      </c>
      <c r="CI9" s="44">
        <f>(0)</f>
        <v>0</v>
      </c>
      <c r="CJ9" s="42" t="s">
        <v>0</v>
      </c>
      <c r="CK9" s="38">
        <f>(CL1+CL2+CL3+CL4+CL5+CL6+CQ21+CQ22+CQ23+CQ24+CK7+CK8)</f>
        <v>10104.5</v>
      </c>
      <c r="CL9" s="42" t="s">
        <v>0</v>
      </c>
      <c r="CM9" s="38">
        <f>(CN1+CN2+CN3+CN4+CN5+CN6+CS21+CS22+CS23+CS24+CM7+CM8)</f>
        <v>68850</v>
      </c>
      <c r="CN9" s="38">
        <f>(CO1+CO2+CO3+CO4+CO5+CO6+CT21+CT22+CT23+CT24+CN7+CN8)</f>
        <v>58522.499999999993</v>
      </c>
      <c r="CO9" s="39" t="s">
        <v>0</v>
      </c>
      <c r="CP9" s="38">
        <f t="shared" ref="CP9:CV9" ca="1" si="41">(CQ1+CQ2+CQ3+CQ4+CQ5+CQ6+CV21+CV22+CV23+CV24+CP7+CP8)</f>
        <v>228109.60818113733</v>
      </c>
      <c r="CQ9" s="38">
        <f t="shared" ca="1" si="41"/>
        <v>228109.60818113733</v>
      </c>
      <c r="CR9" s="38">
        <f t="shared" ca="1" si="41"/>
        <v>-1731.3519260948324</v>
      </c>
      <c r="CS9" s="38">
        <f t="shared" si="41"/>
        <v>68850</v>
      </c>
      <c r="CT9" s="38">
        <f t="shared" si="41"/>
        <v>-522.57150000000001</v>
      </c>
      <c r="CU9" s="38">
        <f t="shared" ca="1" si="41"/>
        <v>159259.60818113733</v>
      </c>
      <c r="CV9" s="38">
        <f t="shared" ca="1" si="41"/>
        <v>-1208.7804260948324</v>
      </c>
      <c r="CW9" s="38">
        <f ca="1">(CP11+CP12+CP13+CP14+CP15+CP16+CP17+CP18+CP19+CP20+CW7+CW8)</f>
        <v>-1731.3519260948324</v>
      </c>
      <c r="CX9" s="38">
        <f>(CQ11+CQ12+CQ13+CQ14+CQ15+CQ16+CQ17+CQ18+CQ19+CQ20+CX7+CX8)</f>
        <v>7514.7599999999993</v>
      </c>
      <c r="CY9" s="38">
        <f ca="1">(CR11+CR12+CR13+CR14+CR15+CR16+CR17+CR18+CR19+CR20+CY7+CY8)</f>
        <v>220594.84818113732</v>
      </c>
      <c r="CZ9" s="38">
        <f ca="1">(CS11+CS12+CS13+CS14+CS15+CS16+CS17+CS18+CS19+CS20+CZ7+CZ8)</f>
        <v>220594.84818113732</v>
      </c>
      <c r="DA9" s="38">
        <f ca="1">(BU17+BU18+BU19+BU20+BU21+BU22+BU23+BU24+BU25+BU26+DA7+DA8)</f>
        <v>-30883.278745359228</v>
      </c>
      <c r="DB9" s="38">
        <f ca="1">(BV17+BV18+BV19+BV20+BV21+BV22+BV23+BV24+BV25+BV26+DB7+DB8)</f>
        <v>-2205.9484818113733</v>
      </c>
      <c r="DF9" s="42">
        <v>7</v>
      </c>
      <c r="DG9" s="46">
        <v>3.5</v>
      </c>
      <c r="DH9" s="47">
        <v>0.09</v>
      </c>
      <c r="DI9" s="55"/>
    </row>
    <row r="10" spans="1:113" ht="39.950000000000003" customHeight="1" x14ac:dyDescent="0.25">
      <c r="A10" s="76"/>
      <c r="B10" s="77"/>
      <c r="C10" s="67"/>
      <c r="D10" s="67"/>
      <c r="E10" s="78"/>
      <c r="F10" s="67"/>
      <c r="G10" s="67"/>
      <c r="H10" s="58"/>
      <c r="I10" s="58"/>
      <c r="J10" s="58"/>
      <c r="K10" s="67"/>
      <c r="L10" s="67"/>
      <c r="M10" s="67"/>
      <c r="N10" s="73"/>
      <c r="O10" s="18" t="s">
        <v>146</v>
      </c>
      <c r="P10" s="19">
        <f t="shared" si="39"/>
        <v>0</v>
      </c>
      <c r="Q10" s="19">
        <f>COUNTIF(R1,"Ocak")*(BK15)
+COUNTIF(R1,"Şubat")*(BK16)
+COUNTIF(R1,"Mart")*(BK17)
+COUNTIF(R1,"Nisan")*(BK18)
+COUNTIF(R1,"Mayıs")*(BK19)
+COUNTIF(R1,"Haziran")*(BK20)
+COUNTIF(R1,"Temmuz")*(BK21)
+COUNTIF(R1,"Ağustos")*(BB1)
+COUNTIF(R1,"Eylül")*(BB2)
+COUNTIF(R1,"Ekim")*(BB3)
+COUNTIF(R1,"Kasım")*(BB4)
+COUNTIF(R1,"Aralık")*(BB5)
+COUNTIF(R1,"Yıllık Toplam")*(BR6)
+COUNTIF(R1,"Yıllık Ortalama")*(BR7)</f>
        <v>0</v>
      </c>
      <c r="R10" s="72"/>
      <c r="S10" s="71"/>
      <c r="T10" s="24" t="s">
        <v>49</v>
      </c>
      <c r="U10" s="26" t="s">
        <v>149</v>
      </c>
      <c r="V10" s="60"/>
      <c r="W10" s="61"/>
      <c r="X10" s="63"/>
      <c r="Y10" s="62"/>
      <c r="Z10" s="30"/>
      <c r="AA10" s="32" t="s">
        <v>98</v>
      </c>
      <c r="AB10" s="33">
        <v>282.48</v>
      </c>
      <c r="AC10" s="33">
        <v>282.48</v>
      </c>
      <c r="AD10" s="33">
        <v>282.48</v>
      </c>
      <c r="AE10" s="38">
        <f>(AF10/CM17)</f>
        <v>714.61639819090465</v>
      </c>
      <c r="AF10" s="38">
        <f>(602/30*AT21)</f>
        <v>602</v>
      </c>
      <c r="AG10" s="38">
        <f>(0)</f>
        <v>0</v>
      </c>
      <c r="AH10" s="38">
        <f>(0)</f>
        <v>0</v>
      </c>
      <c r="AI10" s="38">
        <f>(0)</f>
        <v>0</v>
      </c>
      <c r="AJ10" s="50">
        <v>0</v>
      </c>
      <c r="AK10" s="38">
        <f>(AL10/CM17)</f>
        <v>0</v>
      </c>
      <c r="AL10" s="38">
        <f>(AP21*AJ10)</f>
        <v>0</v>
      </c>
      <c r="AM10" s="50">
        <v>30</v>
      </c>
      <c r="AN10" s="38">
        <f>(AO10/CM17)</f>
        <v>672.24985458387243</v>
      </c>
      <c r="AO10" s="38">
        <f>(566.31/30*AM10)</f>
        <v>566.30999999999995</v>
      </c>
      <c r="AP10" s="50">
        <v>30</v>
      </c>
      <c r="AQ10" s="38">
        <f>(BH21/CM17)</f>
        <v>296.76760722213652</v>
      </c>
      <c r="AT10" s="38">
        <f t="shared" si="1"/>
        <v>0</v>
      </c>
      <c r="AU10" s="38">
        <f t="shared" si="2"/>
        <v>0</v>
      </c>
      <c r="AV10" s="38">
        <f t="shared" si="3"/>
        <v>2270.4205790529554</v>
      </c>
      <c r="AW10" s="38">
        <f t="shared" si="20"/>
        <v>1912.6250000000002</v>
      </c>
      <c r="AX10" s="38">
        <f t="shared" si="4"/>
        <v>0</v>
      </c>
      <c r="AY10" s="38">
        <f t="shared" si="21"/>
        <v>0</v>
      </c>
      <c r="AZ10" s="38">
        <f t="shared" ca="1" si="28"/>
        <v>1093.5062409</v>
      </c>
      <c r="BA10" s="38">
        <f t="shared" si="19"/>
        <v>960</v>
      </c>
      <c r="BB10" s="38">
        <f t="shared" si="29"/>
        <v>960</v>
      </c>
      <c r="BC10" s="38">
        <f t="shared" ca="1" si="30"/>
        <v>1093.51</v>
      </c>
      <c r="BD10" s="38">
        <f t="shared" ca="1" si="31"/>
        <v>-8.2997408999999998</v>
      </c>
      <c r="BE10" s="38">
        <f t="shared" si="22"/>
        <v>258.8</v>
      </c>
      <c r="BF10" s="38">
        <f t="shared" ca="1" si="32"/>
        <v>834.71</v>
      </c>
      <c r="BG10" s="38">
        <f t="shared" ca="1" si="33"/>
        <v>-116.85940000000002</v>
      </c>
      <c r="BH10" s="38">
        <f t="shared" ca="1" si="34"/>
        <v>-8.3471000000000011</v>
      </c>
      <c r="BI10" s="38">
        <f>(0)</f>
        <v>0</v>
      </c>
      <c r="BJ10" s="38">
        <f t="shared" ca="1" si="35"/>
        <v>968.30349999999999</v>
      </c>
      <c r="BK10" s="38">
        <f>(0)</f>
        <v>0</v>
      </c>
      <c r="BS10" s="38" t="s">
        <v>0</v>
      </c>
      <c r="BT10" s="38" t="s">
        <v>0</v>
      </c>
      <c r="BU10" s="38" t="s">
        <v>0</v>
      </c>
      <c r="BV10" s="38" t="s">
        <v>0</v>
      </c>
      <c r="BW10" s="45" t="s">
        <v>69</v>
      </c>
      <c r="BX10" s="39">
        <v>503.5</v>
      </c>
      <c r="BY10" s="38">
        <f>(0)</f>
        <v>0</v>
      </c>
      <c r="BZ10" s="38">
        <f>(CC4+CI4+CJ4-BY10)</f>
        <v>4253.3999999999996</v>
      </c>
      <c r="CA10" s="38">
        <f>SUM(BZ$7:$BZ10)</f>
        <v>17013.599999999999</v>
      </c>
      <c r="CB10" s="49">
        <f t="shared" si="27"/>
        <v>0.15</v>
      </c>
      <c r="CC10" s="40">
        <f t="shared" si="36"/>
        <v>0</v>
      </c>
      <c r="CD10" s="38">
        <f>(AN6+AY17+AV22+AZ22)</f>
        <v>286.85556914091711</v>
      </c>
      <c r="CE10" s="38">
        <f t="shared" ca="1" si="37"/>
        <v>20622.834966796421</v>
      </c>
      <c r="CF10" s="38">
        <f ca="1">SUM($CE$8:CE10)</f>
        <v>44275.912954584695</v>
      </c>
      <c r="CG10" s="49">
        <f t="shared" ca="1" si="38"/>
        <v>0.2</v>
      </c>
      <c r="CH10" s="40">
        <f t="shared" ca="1" si="40"/>
        <v>1</v>
      </c>
      <c r="CI10" s="44">
        <f>(0)</f>
        <v>0</v>
      </c>
      <c r="CJ10" s="36" t="s">
        <v>0</v>
      </c>
      <c r="CK10" s="38">
        <f t="shared" ref="CK10" si="42">(CK9/12)</f>
        <v>842.04166666666663</v>
      </c>
      <c r="CL10" s="36" t="s">
        <v>0</v>
      </c>
      <c r="CM10" s="38">
        <f t="shared" ref="CM10" si="43">(CM9/12)</f>
        <v>5737.5</v>
      </c>
      <c r="CN10" s="38">
        <f t="shared" ref="CN10" si="44">(CN9/12)</f>
        <v>4876.8749999999991</v>
      </c>
      <c r="CO10" s="38" t="s">
        <v>0</v>
      </c>
      <c r="CP10" s="38">
        <f t="shared" ref="CP10" ca="1" si="45">(CP9/12)</f>
        <v>19009.134015094776</v>
      </c>
      <c r="CQ10" s="38">
        <f t="shared" ref="CQ10" ca="1" si="46">(CQ9/12)</f>
        <v>19009.134015094776</v>
      </c>
      <c r="CR10" s="38">
        <f t="shared" ref="CR10" ca="1" si="47">(CR9/12)</f>
        <v>-144.27932717456937</v>
      </c>
      <c r="CS10" s="38">
        <f t="shared" ref="CS10" si="48">(CS9/12)</f>
        <v>5737.5</v>
      </c>
      <c r="CT10" s="38">
        <f t="shared" ref="CT10" si="49">(CT9/12)</f>
        <v>-43.547625000000004</v>
      </c>
      <c r="CU10" s="38">
        <f t="shared" ref="CU10" ca="1" si="50">(CU9/12)</f>
        <v>13271.634015094778</v>
      </c>
      <c r="CV10" s="38">
        <f t="shared" ref="CV10" ca="1" si="51">(CV9/12)</f>
        <v>-100.73170217456936</v>
      </c>
      <c r="CW10" s="38">
        <f t="shared" ref="CW10" ca="1" si="52">(CW9/12)</f>
        <v>-144.27932717456937</v>
      </c>
      <c r="CX10" s="38">
        <f t="shared" ref="CX10" si="53">(CX9/12)</f>
        <v>626.2299999999999</v>
      </c>
      <c r="CY10" s="38">
        <f t="shared" ref="CY10" ca="1" si="54">(CY9/12)</f>
        <v>18382.904015094777</v>
      </c>
      <c r="CZ10" s="38">
        <f t="shared" ref="CZ10" ca="1" si="55">(CZ9/12)</f>
        <v>18382.904015094777</v>
      </c>
      <c r="DA10" s="38">
        <f t="shared" ref="DA10" ca="1" si="56">(DA9/12)</f>
        <v>-2573.6065621132689</v>
      </c>
      <c r="DB10" s="38">
        <f t="shared" ref="DB10" ca="1" si="57">(DB9/12)</f>
        <v>-183.82904015094778</v>
      </c>
      <c r="DF10" s="42">
        <v>8</v>
      </c>
      <c r="DG10" s="46">
        <v>4</v>
      </c>
      <c r="DH10" s="47">
        <v>0.1</v>
      </c>
      <c r="DI10" s="55"/>
    </row>
    <row r="11" spans="1:113" ht="39.950000000000003" customHeight="1" x14ac:dyDescent="0.25">
      <c r="A11" s="76"/>
      <c r="B11" s="77"/>
      <c r="C11" s="67"/>
      <c r="D11" s="67"/>
      <c r="E11" s="78"/>
      <c r="F11" s="67"/>
      <c r="G11" s="67"/>
      <c r="H11" s="58"/>
      <c r="I11" s="58"/>
      <c r="J11" s="58"/>
      <c r="K11" s="67"/>
      <c r="L11" s="67"/>
      <c r="M11" s="67"/>
      <c r="N11" s="73"/>
      <c r="O11" s="18" t="s">
        <v>147</v>
      </c>
      <c r="P11" s="19">
        <f t="shared" ref="P11" si="58">IF(Q11&gt;0,Q11,Q11*-1)</f>
        <v>4724.6258316000012</v>
      </c>
      <c r="Q11" s="19">
        <f>COUNTIF(R1,"Ocak")*(BN15)
+COUNTIF(R1,"Şubat")*(BN16)
+COUNTIF(R1,"Mart")*(BN17)
+COUNTIF(R1,"Nisan")*(BN18)
+COUNTIF(R1,"Mayıs")*(BN19)
+COUNTIF(R1,"Haziran")*(BN20)
+COUNTIF(R1,"Temmuz")*(BN21)
+COUNTIF(R1,"Ağustos")*(BE1)
+COUNTIF(R1,"Eylül")*(BE2)
+COUNTIF(R1,"Ekim")*(BE3)
+COUNTIF(R1,"Kasım")*(BE4)
+COUNTIF(R1,"Aralık")*(BE5)
+COUNTIF(R1,"Yıllık Toplam")*(BU6)
+COUNTIF(R1,"Yıllık Ortalama")*(BU7)</f>
        <v>4724.6258316000012</v>
      </c>
      <c r="R11" s="72"/>
      <c r="S11" s="71"/>
      <c r="T11" s="24" t="s">
        <v>28</v>
      </c>
      <c r="U11" s="25" t="s">
        <v>155</v>
      </c>
      <c r="V11" s="60"/>
      <c r="W11" s="61"/>
      <c r="X11" s="63"/>
      <c r="Y11" s="62"/>
      <c r="Z11" s="30"/>
      <c r="AA11" s="32" t="s">
        <v>99</v>
      </c>
      <c r="AB11" s="33">
        <v>292</v>
      </c>
      <c r="AC11" s="33">
        <v>292</v>
      </c>
      <c r="AD11" s="33">
        <v>292</v>
      </c>
      <c r="AE11" s="38">
        <f>(AF11/CM18)</f>
        <v>714.61639819090465</v>
      </c>
      <c r="AF11" s="38">
        <f>(602/30*AT22)</f>
        <v>602</v>
      </c>
      <c r="AG11" s="38">
        <f>(0)</f>
        <v>0</v>
      </c>
      <c r="AH11" s="38">
        <f>(0)</f>
        <v>0</v>
      </c>
      <c r="AI11" s="38">
        <f>(0)</f>
        <v>0</v>
      </c>
      <c r="AJ11" s="50">
        <v>0</v>
      </c>
      <c r="AK11" s="38">
        <f>(AL11/CM18)</f>
        <v>0</v>
      </c>
      <c r="AL11" s="38">
        <f>(AP22*AJ11)</f>
        <v>0</v>
      </c>
      <c r="AM11" s="50">
        <v>30</v>
      </c>
      <c r="AN11" s="38">
        <f>(AO11/CM18)</f>
        <v>672.24985458387243</v>
      </c>
      <c r="AO11" s="38">
        <f>(566.31/30*AM11)</f>
        <v>566.30999999999995</v>
      </c>
      <c r="AP11" s="50">
        <v>30</v>
      </c>
      <c r="AQ11" s="38">
        <f>(AZ1/CM18)</f>
        <v>296.76760722213652</v>
      </c>
      <c r="AT11" s="38">
        <f t="shared" si="1"/>
        <v>0</v>
      </c>
      <c r="AU11" s="38">
        <f t="shared" si="2"/>
        <v>0</v>
      </c>
      <c r="AV11" s="38">
        <f t="shared" si="3"/>
        <v>2270.4205790529554</v>
      </c>
      <c r="AW11" s="38">
        <f t="shared" si="20"/>
        <v>1912.6250000000002</v>
      </c>
      <c r="AX11" s="38">
        <f t="shared" si="4"/>
        <v>0</v>
      </c>
      <c r="AY11" s="38">
        <f t="shared" si="21"/>
        <v>0</v>
      </c>
      <c r="AZ11" s="38">
        <f t="shared" ca="1" si="28"/>
        <v>1093.5062409</v>
      </c>
      <c r="BA11" s="38">
        <f t="shared" si="19"/>
        <v>960</v>
      </c>
      <c r="BB11" s="38">
        <f t="shared" si="29"/>
        <v>960</v>
      </c>
      <c r="BC11" s="38">
        <f t="shared" ca="1" si="30"/>
        <v>1093.51</v>
      </c>
      <c r="BD11" s="38">
        <f t="shared" ca="1" si="31"/>
        <v>-8.2997408999999998</v>
      </c>
      <c r="BE11" s="38">
        <f t="shared" si="22"/>
        <v>258.8</v>
      </c>
      <c r="BF11" s="38">
        <f t="shared" ca="1" si="32"/>
        <v>834.71</v>
      </c>
      <c r="BG11" s="38">
        <f t="shared" ca="1" si="33"/>
        <v>-116.85940000000002</v>
      </c>
      <c r="BH11" s="38">
        <f t="shared" ca="1" si="34"/>
        <v>-8.3471000000000011</v>
      </c>
      <c r="BI11" s="38">
        <f>(0)</f>
        <v>0</v>
      </c>
      <c r="BJ11" s="38">
        <f t="shared" ca="1" si="35"/>
        <v>968.30349999999999</v>
      </c>
      <c r="BK11" s="38">
        <f>(0)</f>
        <v>0</v>
      </c>
      <c r="BS11" s="38" t="s">
        <v>0</v>
      </c>
      <c r="BT11" s="38" t="s">
        <v>0</v>
      </c>
      <c r="BU11" s="38" t="s">
        <v>0</v>
      </c>
      <c r="BV11" s="38" t="s">
        <v>0</v>
      </c>
      <c r="BW11" s="45" t="s">
        <v>70</v>
      </c>
      <c r="BX11" s="39">
        <v>608.28</v>
      </c>
      <c r="BY11" s="38">
        <f>(0)</f>
        <v>0</v>
      </c>
      <c r="BZ11" s="38">
        <f>(CC5+CI5+CJ5-BY11)</f>
        <v>4253.3999999999996</v>
      </c>
      <c r="CA11" s="38">
        <f>SUM(BZ$7:$BZ11)</f>
        <v>21267</v>
      </c>
      <c r="CB11" s="49">
        <f t="shared" si="27"/>
        <v>0.15</v>
      </c>
      <c r="CC11" s="40">
        <f t="shared" si="36"/>
        <v>0</v>
      </c>
      <c r="CD11" s="38">
        <f>(AN7+AY18+AV23+AZ23)</f>
        <v>286.85556914091711</v>
      </c>
      <c r="CE11" s="38">
        <f t="shared" ca="1" si="37"/>
        <v>12351.658223880266</v>
      </c>
      <c r="CF11" s="38">
        <f ca="1">SUM($CE$8:CE11)</f>
        <v>56627.571178464961</v>
      </c>
      <c r="CG11" s="49">
        <f t="shared" ca="1" si="38"/>
        <v>0.2</v>
      </c>
      <c r="CH11" s="40">
        <f t="shared" ca="1" si="40"/>
        <v>0</v>
      </c>
      <c r="CI11" s="44">
        <f>(0)</f>
        <v>0</v>
      </c>
      <c r="CJ11" s="38">
        <f>(0)</f>
        <v>0</v>
      </c>
      <c r="CK11" s="38">
        <f>(0)</f>
        <v>0</v>
      </c>
      <c r="CL11" s="38">
        <f t="shared" ref="CL11:CL22" si="59">(CJ11+CK11)</f>
        <v>0</v>
      </c>
      <c r="CM11" s="44">
        <f>(100+(100*0.00759*-1)+(100*0.14*-1)+(100*0.01*-1))/100</f>
        <v>0.84240999999999999</v>
      </c>
      <c r="CN11" s="44">
        <f t="shared" ref="CN11:CN22" si="60">(100+(100*0.00759*-1)+(100*0.14*-1)+(100*0.01*-1)+(100+100*0.14*-1+100*0.01*-1)*CI8*-1)/100</f>
        <v>0.84240999999999999</v>
      </c>
      <c r="CO11" s="44">
        <f t="shared" ref="CO11:CO22" si="61">(100+(100*0.00759*-1)+(100)*CI8*-1)/100</f>
        <v>0.99241000000000001</v>
      </c>
      <c r="CP11" s="38">
        <f t="shared" ref="CP11:CP16" ca="1" si="62">(CS1)</f>
        <v>-110.99467580661619</v>
      </c>
      <c r="CQ11" s="38">
        <f>(AJ4+AX15+BM15+AV20)</f>
        <v>596.93000000000006</v>
      </c>
      <c r="CR11" s="38">
        <f t="shared" ref="CR11:CR16" ca="1" si="63">(CR1-CQ11)</f>
        <v>14026.874454099629</v>
      </c>
      <c r="CS11" s="38">
        <f ca="1">IF(CR11&gt;=CC1*7.5,CC1*7.5,CR11)</f>
        <v>14026.874454099629</v>
      </c>
      <c r="CT11" s="38" t="s">
        <v>0</v>
      </c>
      <c r="CU11" s="38">
        <f t="shared" ref="CU11:CU16" ca="1" si="64">(CR1)</f>
        <v>14623.804454099629</v>
      </c>
      <c r="CV11" s="38">
        <f t="shared" ref="CV11:CV17" ca="1" si="65">(CU11*0.205)</f>
        <v>2997.8799130904235</v>
      </c>
      <c r="CW11" s="38">
        <f t="shared" ref="CW11:CW17" ca="1" si="66">(CU11*0.01)</f>
        <v>146.2380445409963</v>
      </c>
      <c r="CX11" s="38">
        <f t="shared" ref="CX11:CX17" ca="1" si="67">(CU11*0.05*-1)</f>
        <v>-731.19022270498147</v>
      </c>
      <c r="CY11" s="38">
        <f t="shared" ref="CY11:CY17" ca="1" si="68">(CU11+CV11+CW11+CX11)</f>
        <v>17036.732189026068</v>
      </c>
      <c r="CZ11" s="38" t="s">
        <v>0</v>
      </c>
      <c r="DA11" s="38">
        <f ca="1">(CW22)</f>
        <v>15126.18548176846</v>
      </c>
      <c r="DB11" s="38">
        <f ca="1">(DA11*0.205)</f>
        <v>3100.868023762534</v>
      </c>
      <c r="DC11" s="38">
        <f ca="1">(DA11*0.01)</f>
        <v>151.26185481768459</v>
      </c>
      <c r="DD11" s="38">
        <f ca="1">(DA11*0.05*-1)</f>
        <v>-756.30927408842308</v>
      </c>
      <c r="DE11" s="38">
        <f ca="1">(DA11+DB11+DC11+DD11)</f>
        <v>17622.006086260255</v>
      </c>
      <c r="DF11" s="42">
        <v>9</v>
      </c>
      <c r="DG11" s="46">
        <v>4.5</v>
      </c>
      <c r="DH11" s="47">
        <v>0.11</v>
      </c>
      <c r="DI11" s="55"/>
    </row>
    <row r="12" spans="1:113" ht="39.950000000000003" customHeight="1" x14ac:dyDescent="0.25">
      <c r="A12" s="76"/>
      <c r="B12" s="77"/>
      <c r="C12" s="67"/>
      <c r="D12" s="67"/>
      <c r="E12" s="78"/>
      <c r="F12" s="67"/>
      <c r="G12" s="67"/>
      <c r="H12" s="58"/>
      <c r="I12" s="58"/>
      <c r="J12" s="58"/>
      <c r="K12" s="67"/>
      <c r="L12" s="67"/>
      <c r="M12" s="67"/>
      <c r="N12" s="73"/>
      <c r="O12" s="18" t="s">
        <v>39</v>
      </c>
      <c r="P12" s="19">
        <f t="shared" ref="P12:P21" si="69">IF(Q12&gt;0,Q12,Q12*-1)</f>
        <v>0</v>
      </c>
      <c r="Q12" s="19">
        <f>COUNTIF(R1,"Ocak")*(AW20)
+COUNTIF(R1,"Şubat")*(AW21)
+COUNTIF(R1,"Mart")*(AW22)
+COUNTIF(R1,"Nisan")*(AW23)
+COUNTIF(R1,"Mayıs")*(AW24)
+COUNTIF(R1,"Haziran")*(BI1)
+COUNTIF(R1,"Temmuz")*(BI2)
+COUNTIF(R1,"Ağustos")*(BI3)
+COUNTIF(R1,"Eylül")*(BI4)
+COUNTIF(R1,"Ekim")*(BI5)
+COUNTIF(R1,"Kasım")*(BC20)
+COUNTIF(R1,"Aralık")*(BC21)
+COUNTIF(R1,"Yıllık Toplam")*(BC22)
+COUNTIF(R1,"Yıllık Ortalama")*(BC23)</f>
        <v>0</v>
      </c>
      <c r="R12" s="72"/>
      <c r="S12" s="71"/>
      <c r="T12" s="24" t="s">
        <v>42</v>
      </c>
      <c r="U12" s="25" t="s">
        <v>150</v>
      </c>
      <c r="V12" s="60"/>
      <c r="W12" s="61"/>
      <c r="X12" s="63"/>
      <c r="Y12" s="62"/>
      <c r="Z12" s="30"/>
      <c r="AA12" s="45" t="s">
        <v>100</v>
      </c>
      <c r="AB12" s="33">
        <v>291</v>
      </c>
      <c r="AC12" s="33">
        <v>291</v>
      </c>
      <c r="AD12" s="33">
        <v>291</v>
      </c>
      <c r="AE12" s="51">
        <v>44562</v>
      </c>
      <c r="AF12" s="34">
        <f>EOMONTH(AE12,0)</f>
        <v>44592</v>
      </c>
      <c r="AG12" s="35">
        <f>DAY(AF12)</f>
        <v>31</v>
      </c>
      <c r="AH12" s="35">
        <f>NETWORKDAYS.INTL(AE12,AF12,11)</f>
        <v>26</v>
      </c>
      <c r="AI12" s="35">
        <f>(AG12-AH12)</f>
        <v>5</v>
      </c>
      <c r="AJ12" s="36" t="s">
        <v>0</v>
      </c>
      <c r="AK12" s="33">
        <f>(AL12/CM11)</f>
        <v>318.72841015657457</v>
      </c>
      <c r="AL12" s="33">
        <f>COUNTIF($A$1,"1S-Kaptan-Üniversite")*($AB$1)
+COUNTIF($A$1,"1S-Kaptan-MYO")*($AB$2)
+COUNTIF($A$1,"1S-Kaptan-Lise")*($AB$3)
+COUNTIF($A$1,"1S-Kaptan-Ortaokul")*($AB$4)
+COUNTIF($A$1,"1S-Kaptan-İlkokul")*($AB$5)
+COUNTIF($A$1,"1S-Baş Makinist-Üniversite")*($AB$6)
+COUNTIF($A$1,"1S-Baş Makinist-MYO")*($AB$7)
+COUNTIF($A$1,"1S-Baş Makinist-Lise")*($AB$8)
+COUNTIF($A$1,"1S-Baş Makinist-Ortaokul")*($AB$9)
+COUNTIF($A$1,"1S-Baş Makinist-İlkokul")*($AB$10)
+COUNTIF($A$1,"1S-İkinci Kaptan-Üniversite")*($AB$11)
+COUNTIF($A$1,"1S-İkinci Kaptan-MYO")*($AB$12)
+COUNTIF($A$1,"1S-İkinci Kaptan-Lise")*($AB$13)
+COUNTIF($A$1,"1S-İkinci Kaptan-Ortaokul")*($AB$14)
+COUNTIF($A$1,"1S-İkinci Kaptan-İlkokul")*($AB$15)
+COUNTIF($A$1,"1S-Usta Gemici-Üniversite")*($AB$16)
+COUNTIF($A$1,"1S-Usta Gemici-MYO")*($AB$17)
+COUNTIF($A$1,"1S-Usta Gemici-Lise")*($AB$18)
+COUNTIF($A$1,"1S-Usta Gemici-Ortaokul")*($AB$19)
+COUNTIF($A$1,"1S-Usta Gemici-İlkokul")*($AB$20)
+COUNTIF($A$1,"1S-Yağcı-Üniversite")*($AB$21)
+COUNTIF($A$1,"1S-Yağcı-MYO")*($AB$22)
+COUNTIF($A$1,"1S-Yağcı-Lise")*($AB$23)
+COUNTIF($A$1,"1S-Yağcı-Ortaokul")*($AB$24)
+COUNTIF($A$1,"1S-Yağcı-İlkokul")*($AB$25)
+COUNTIF($A$1,"2S-Kaptan-Üniversite")*($AB$26)
+COUNTIF($A$1,"2S-Kaptan-MYO")*($AB$27)
+COUNTIF($A$1,"2S-Kaptan-Lise")*($AB$28)
+COUNTIF($A$1,"2S-Kaptan-Ortaokul")*($AB$29)
+COUNTIF($A$1,"2S-Kaptan-İlkokul")*($AB$30)
+COUNTIF($A$1,"2S-Baş Makinist-Üniversite")*($AB$31)
+COUNTIF($A$1,"2S-Baş Makinist-MYO")*($AB$32)
+COUNTIF($A$1,"2S-Baş Makinist-Lise")*($AB$33)
+COUNTIF($A$1,"2S-Baş Makinist-Ortaokul")*($AB$34)
+COUNTIF($A$1,"2S-Baş Makinist-İlkokul")*($AB$35)
+COUNTIF($A$1,"2S-İkinci Kaptan-Üniversite")*($AB$36)
+COUNTIF($A$1,"2S-İkinci Kaptan-MYO")*($AB$37)
+COUNTIF($A$1,"2S-İkinci Kaptan-Lise")*($AB$38)
+COUNTIF($A$1,"2S-İkinci Kaptan-Ortaokul")*($AB$39)
+COUNTIF($A$1,"2S-İkinci Kaptan-İlkokul")*($AB$40)
+COUNTIF($A$1,"2S-Usta Gemici-Üniversite")*($AB$41)
+COUNTIF($A$1,"2S-Usta Gemici-MYO")*($AB$42)
+COUNTIF($A$1,"2S-Usta Gemici-Lise")*($AB$43)
+COUNTIF($A$1,"2S-Usta Gemici-Ortaokul")*($AB$44)
+COUNTIF($A$1,"2S-Usta Gemici-İlkokul")*($AB$45)
+COUNTIF($A$1,"2S-Yağcı-Üniversite")*($AB$46)
+COUNTIF($A$1,"2S-Yağcı-MYO")*($AB$47)
+COUNTIF($A$1,"2S-Yağcı-Lise")*($AB$48)
+COUNTIF($A$1,"2S-Yağcı-Ortaokul")*($AB$49)
+COUNTIF($A$1,"2S-Yağcı-İlkokul")*($AB$50)
+COUNTIF($A$1,"2S-Gemici-Üniversite")*($AB$51)
+COUNTIF($A$1,"2S-Gemici-MYO")*($AB$52)
+COUNTIF($A$1,"2S-Gemici-Lise")*($AB$53)
+COUNTIF($A$1,"2S-Gemici-Ortaokul")*($AB$54)
+COUNTIF($A$1,"2S-Gemici-İlkokul")*($AB$55)
+COUNTIF($A$1,"2S-Gemi Salon Sorumlusu-Üniversite")*($AB$56)
+COUNTIF($A$1,"2S-Gemi Salon Sorumlusu-MYO")*($AB$57)
+COUNTIF($A$1,"2S-Gemi Salon Sorumlusu-Lise")*($AB$58)
+COUNTIF($A$1,"2S-Gemi Salon Sorumlusu-Ortaokul")*($AB$59)
+COUNTIF($A$1,"2S-Gemi Salon Sorumlusu-İlkokul")*($AB$60)</f>
        <v>268.5</v>
      </c>
      <c r="AM12" s="33">
        <f>(AN12/CM11)</f>
        <v>318.72841015657457</v>
      </c>
      <c r="AN12" s="33">
        <f>COUNTIF($A$1,"1S-Kaptan-Üniversite")*($AB$1)
+COUNTIF($A$1,"1S-Kaptan-MYO")*($AB$2)
+COUNTIF($A$1,"1S-Kaptan-Lise")*($AB$3)
+COUNTIF($A$1,"1S-Kaptan-Ortaokul")*($AB$4)
+COUNTIF($A$1,"1S-Kaptan-İlkokul")*($AB$5)
+COUNTIF($A$1,"1S-Baş Makinist-Üniversite")*($AB$6)
+COUNTIF($A$1,"1S-Baş Makinist-MYO")*($AB$7)
+COUNTIF($A$1,"1S-Baş Makinist-Lise")*($AB$8)
+COUNTIF($A$1,"1S-Baş Makinist-Ortaokul")*($AB$9)
+COUNTIF($A$1,"1S-Baş Makinist-İlkokul")*($AB$10)
+COUNTIF($A$1,"1S-İkinci Kaptan-Üniversite")*($AB$11)
+COUNTIF($A$1,"1S-İkinci Kaptan-MYO")*($AB$12)
+COUNTIF($A$1,"1S-İkinci Kaptan-Lise")*($AB$13)
+COUNTIF($A$1,"1S-İkinci Kaptan-Ortaokul")*($AB$14)
+COUNTIF($A$1,"1S-İkinci Kaptan-İlkokul")*($AB$15)
+COUNTIF($A$1,"1S-Usta Gemici-Üniversite")*($AB$16)
+COUNTIF($A$1,"1S-Usta Gemici-MYO")*($AB$17)
+COUNTIF($A$1,"1S-Usta Gemici-Lise")*($AB$18)
+COUNTIF($A$1,"1S-Usta Gemici-Ortaokul")*($AB$19)
+COUNTIF($A$1,"1S-Usta Gemici-İlkokul")*($AB$20)
+COUNTIF($A$1,"1S-Yağcı-Üniversite")*($AB$21)
+COUNTIF($A$1,"1S-Yağcı-MYO")*($AB$22)
+COUNTIF($A$1,"1S-Yağcı-Lise")*($AB$23)
+COUNTIF($A$1,"1S-Yağcı-Ortaokul")*($AB$24)
+COUNTIF($A$1,"1S-Yağcı-İlkokul")*($AB$25)
+COUNTIF($A$1,"2S-Kaptan-Üniversite")*($AB$26)
+COUNTIF($A$1,"2S-Kaptan-MYO")*($AB$27)
+COUNTIF($A$1,"2S-Kaptan-Lise")*($AB$28)
+COUNTIF($A$1,"2S-Kaptan-Ortaokul")*($AB$29)
+COUNTIF($A$1,"2S-Kaptan-İlkokul")*($AB$30)
+COUNTIF($A$1,"2S-Baş Makinist-Üniversite")*($AB$31)
+COUNTIF($A$1,"2S-Baş Makinist-MYO")*($AB$32)
+COUNTIF($A$1,"2S-Baş Makinist-Lise")*($AB$33)
+COUNTIF($A$1,"2S-Baş Makinist-Ortaokul")*($AB$34)
+COUNTIF($A$1,"2S-Baş Makinist-İlkokul")*($AB$35)
+COUNTIF($A$1,"2S-İkinci Kaptan-Üniversite")*($AB$36)
+COUNTIF($A$1,"2S-İkinci Kaptan-MYO")*($AB$37)
+COUNTIF($A$1,"2S-İkinci Kaptan-Lise")*($AB$38)
+COUNTIF($A$1,"2S-İkinci Kaptan-Ortaokul")*($AB$39)
+COUNTIF($A$1,"2S-İkinci Kaptan-İlkokul")*($AB$40)
+COUNTIF($A$1,"2S-Usta Gemici-Üniversite")*($AB$41)
+COUNTIF($A$1,"2S-Usta Gemici-MYO")*($AB$42)
+COUNTIF($A$1,"2S-Usta Gemici-Lise")*($AB$43)
+COUNTIF($A$1,"2S-Usta Gemici-Ortaokul")*($AB$44)
+COUNTIF($A$1,"2S-Usta Gemici-İlkokul")*($AB$45)
+COUNTIF($A$1,"2S-Yağcı-Üniversite")*($AB$46)
+COUNTIF($A$1,"2S-Yağcı-MYO")*($AB$47)
+COUNTIF($A$1,"2S-Yağcı-Lise")*($AB$48)
+COUNTIF($A$1,"2S-Yağcı-Ortaokul")*($AB$49)
+COUNTIF($A$1,"2S-Yağcı-İlkokul")*($AB$50)
+COUNTIF($A$1,"2S-Gemici-Üniversite")*($AB$51)
+COUNTIF($A$1,"2S-Gemici-MYO")*($AB$52)
+COUNTIF($A$1,"2S-Gemici-Lise")*($AB$53)
+COUNTIF($A$1,"2S-Gemici-Ortaokul")*($AB$54)
+COUNTIF($A$1,"2S-Gemici-İlkokul")*($AB$55)
+COUNTIF($A$1,"2S-Gemi Salon Sorumlusu-Üniversite")*($AB$56)
+COUNTIF($A$1,"2S-Gemi Salon Sorumlusu-MYO")*($AB$57)
+COUNTIF($A$1,"2S-Gemi Salon Sorumlusu-Lise")*($AB$58)
+COUNTIF($A$1,"2S-Gemi Salon Sorumlusu-Ortaokul")*($AB$59)
+COUNTIF($A$1,"2S-Gemi Salon Sorumlusu-İlkokul")*($AB$60)</f>
        <v>268.5</v>
      </c>
      <c r="AO12" s="33">
        <f>(AP12/CM11)</f>
        <v>318.72841015657457</v>
      </c>
      <c r="AP12" s="33">
        <f>COUNTIF($A$1,"1S-Kaptan-Üniversite")*($AB$1)
+COUNTIF($A$1,"1S-Kaptan-MYO")*($AB$2)
+COUNTIF($A$1,"1S-Kaptan-Lise")*($AB$3)
+COUNTIF($A$1,"1S-Kaptan-Ortaokul")*($AB$4)
+COUNTIF($A$1,"1S-Kaptan-İlkokul")*($AB$5)
+COUNTIF($A$1,"1S-Baş Makinist-Üniversite")*($AB$6)
+COUNTIF($A$1,"1S-Baş Makinist-MYO")*($AB$7)
+COUNTIF($A$1,"1S-Baş Makinist-Lise")*($AB$8)
+COUNTIF($A$1,"1S-Baş Makinist-Ortaokul")*($AB$9)
+COUNTIF($A$1,"1S-Baş Makinist-İlkokul")*($AB$10)
+COUNTIF($A$1,"1S-İkinci Kaptan-Üniversite")*($AB$11)
+COUNTIF($A$1,"1S-İkinci Kaptan-MYO")*($AB$12)
+COUNTIF($A$1,"1S-İkinci Kaptan-Lise")*($AB$13)
+COUNTIF($A$1,"1S-İkinci Kaptan-Ortaokul")*($AB$14)
+COUNTIF($A$1,"1S-İkinci Kaptan-İlkokul")*($AB$15)
+COUNTIF($A$1,"1S-Usta Gemici-Üniversite")*($AB$16)
+COUNTIF($A$1,"1S-Usta Gemici-MYO")*($AB$17)
+COUNTIF($A$1,"1S-Usta Gemici-Lise")*($AB$18)
+COUNTIF($A$1,"1S-Usta Gemici-Ortaokul")*($AB$19)
+COUNTIF($A$1,"1S-Usta Gemici-İlkokul")*($AB$20)
+COUNTIF($A$1,"1S-Yağcı-Üniversite")*($AB$21)
+COUNTIF($A$1,"1S-Yağcı-MYO")*($AB$22)
+COUNTIF($A$1,"1S-Yağcı-Lise")*($AB$23)
+COUNTIF($A$1,"1S-Yağcı-Ortaokul")*($AB$24)
+COUNTIF($A$1,"1S-Yağcı-İlkokul")*($AB$25)
+COUNTIF($A$1,"2S-Kaptan-Üniversite")*($AB$26)
+COUNTIF($A$1,"2S-Kaptan-MYO")*($AB$27)
+COUNTIF($A$1,"2S-Kaptan-Lise")*($AB$28)
+COUNTIF($A$1,"2S-Kaptan-Ortaokul")*($AB$29)
+COUNTIF($A$1,"2S-Kaptan-İlkokul")*($AB$30)
+COUNTIF($A$1,"2S-Baş Makinist-Üniversite")*($AB$31)
+COUNTIF($A$1,"2S-Baş Makinist-MYO")*($AB$32)
+COUNTIF($A$1,"2S-Baş Makinist-Lise")*($AB$33)
+COUNTIF($A$1,"2S-Baş Makinist-Ortaokul")*($AB$34)
+COUNTIF($A$1,"2S-Baş Makinist-İlkokul")*($AB$35)
+COUNTIF($A$1,"2S-İkinci Kaptan-Üniversite")*($AB$36)
+COUNTIF($A$1,"2S-İkinci Kaptan-MYO")*($AB$37)
+COUNTIF($A$1,"2S-İkinci Kaptan-Lise")*($AB$38)
+COUNTIF($A$1,"2S-İkinci Kaptan-Ortaokul")*($AB$39)
+COUNTIF($A$1,"2S-İkinci Kaptan-İlkokul")*($AB$40)
+COUNTIF($A$1,"2S-Usta Gemici-Üniversite")*($AB$41)
+COUNTIF($A$1,"2S-Usta Gemici-MYO")*($AB$42)
+COUNTIF($A$1,"2S-Usta Gemici-Lise")*($AB$43)
+COUNTIF($A$1,"2S-Usta Gemici-Ortaokul")*($AB$44)
+COUNTIF($A$1,"2S-Usta Gemici-İlkokul")*($AB$45)
+COUNTIF($A$1,"2S-Yağcı-Üniversite")*($AB$46)
+COUNTIF($A$1,"2S-Yağcı-MYO")*($AB$47)
+COUNTIF($A$1,"2S-Yağcı-Lise")*($AB$48)
+COUNTIF($A$1,"2S-Yağcı-Ortaokul")*($AB$49)
+COUNTIF($A$1,"2S-Yağcı-İlkokul")*($AB$50)
+COUNTIF($A$1,"2S-Gemici-Üniversite")*($AB$51)
+COUNTIF($A$1,"2S-Gemici-MYO")*($AB$52)
+COUNTIF($A$1,"2S-Gemici-Lise")*($AB$53)
+COUNTIF($A$1,"2S-Gemici-Ortaokul")*($AB$54)
+COUNTIF($A$1,"2S-Gemici-İlkokul")*($AB$55)
+COUNTIF($A$1,"2S-Gemi Salon Sorumlusu-Üniversite")*($AB$56)
+COUNTIF($A$1,"2S-Gemi Salon Sorumlusu-MYO")*($AB$57)
+COUNTIF($A$1,"2S-Gemi Salon Sorumlusu-Lise")*($AB$58)
+COUNTIF($A$1,"2S-Gemi Salon Sorumlusu-Ortaokul")*($AB$59)
+COUNTIF($A$1,"2S-Gemi Salon Sorumlusu-İlkokul")*($AB$60)</f>
        <v>268.5</v>
      </c>
      <c r="AQ12" s="36" t="s">
        <v>0</v>
      </c>
      <c r="AR12" s="37">
        <f>(AS12/CM11)</f>
        <v>9880.5807148538115</v>
      </c>
      <c r="AS12" s="38">
        <f>(AP12*AG12)</f>
        <v>8323.5</v>
      </c>
      <c r="AT12" s="38">
        <f t="shared" si="1"/>
        <v>0</v>
      </c>
      <c r="AU12" s="38">
        <f t="shared" si="2"/>
        <v>0</v>
      </c>
      <c r="AV12" s="38">
        <f t="shared" si="3"/>
        <v>2270.4205790529554</v>
      </c>
      <c r="AW12" s="38">
        <f t="shared" si="20"/>
        <v>1912.6250000000002</v>
      </c>
      <c r="AX12" s="38">
        <f t="shared" si="4"/>
        <v>0</v>
      </c>
      <c r="AY12" s="38">
        <f t="shared" si="21"/>
        <v>0</v>
      </c>
      <c r="AZ12" s="38">
        <f t="shared" ca="1" si="28"/>
        <v>1093.5062409</v>
      </c>
      <c r="BA12" s="38">
        <f t="shared" si="19"/>
        <v>960</v>
      </c>
      <c r="BB12" s="38">
        <f t="shared" si="29"/>
        <v>960</v>
      </c>
      <c r="BC12" s="38">
        <f t="shared" ca="1" si="30"/>
        <v>1093.51</v>
      </c>
      <c r="BD12" s="38">
        <f t="shared" ca="1" si="31"/>
        <v>-8.2997408999999998</v>
      </c>
      <c r="BE12" s="38">
        <f t="shared" si="22"/>
        <v>258.8</v>
      </c>
      <c r="BF12" s="38">
        <f t="shared" ca="1" si="32"/>
        <v>834.71</v>
      </c>
      <c r="BG12" s="38">
        <f t="shared" ca="1" si="33"/>
        <v>-116.85940000000002</v>
      </c>
      <c r="BH12" s="38">
        <f t="shared" ca="1" si="34"/>
        <v>-8.3471000000000011</v>
      </c>
      <c r="BI12" s="38">
        <f>(0)</f>
        <v>0</v>
      </c>
      <c r="BJ12" s="38">
        <f t="shared" ca="1" si="35"/>
        <v>968.30349999999999</v>
      </c>
      <c r="BK12" s="38">
        <f>(0)</f>
        <v>0</v>
      </c>
      <c r="BS12" s="38" t="s">
        <v>0</v>
      </c>
      <c r="BT12" s="38" t="s">
        <v>0</v>
      </c>
      <c r="BU12" s="38" t="s">
        <v>0</v>
      </c>
      <c r="BV12" s="38" t="s">
        <v>0</v>
      </c>
      <c r="BW12" s="45" t="s">
        <v>71</v>
      </c>
      <c r="BX12" s="39">
        <v>608.28</v>
      </c>
      <c r="BY12" s="38">
        <f>(0)</f>
        <v>0</v>
      </c>
      <c r="BZ12" s="38">
        <f>(BK22+BQ22+BR22-BY12)</f>
        <v>4253.3999999999996</v>
      </c>
      <c r="CA12" s="38">
        <f>SUM(BZ$7:$BZ12)</f>
        <v>25520.400000000001</v>
      </c>
      <c r="CB12" s="49">
        <f t="shared" si="27"/>
        <v>0.15</v>
      </c>
      <c r="CC12" s="40">
        <f t="shared" si="36"/>
        <v>0</v>
      </c>
      <c r="CD12" s="38">
        <f>(AN8+AY19+AV24+AZ24)</f>
        <v>286.85556914091711</v>
      </c>
      <c r="CE12" s="38">
        <f t="shared" ca="1" si="37"/>
        <v>12668.810204507274</v>
      </c>
      <c r="CF12" s="38">
        <f ca="1">SUM($CE$8:CE12)</f>
        <v>69296.381382972235</v>
      </c>
      <c r="CG12" s="49">
        <f t="shared" ca="1" si="38"/>
        <v>0.2</v>
      </c>
      <c r="CH12" s="40">
        <f t="shared" ca="1" si="40"/>
        <v>0</v>
      </c>
      <c r="CI12" s="44">
        <f>(0)</f>
        <v>0</v>
      </c>
      <c r="CJ12" s="38">
        <f>(0)</f>
        <v>0</v>
      </c>
      <c r="CK12" s="38">
        <f>(0)</f>
        <v>0</v>
      </c>
      <c r="CL12" s="38">
        <f t="shared" si="59"/>
        <v>0</v>
      </c>
      <c r="CM12" s="44">
        <f t="shared" ref="CM12:CM22" si="70">(100+(100*0.00759*-1)+(100*0.14*-1)+(100*0.01*-1))/100</f>
        <v>0.84240999999999999</v>
      </c>
      <c r="CN12" s="44">
        <f t="shared" si="60"/>
        <v>0.84240999999999999</v>
      </c>
      <c r="CO12" s="44">
        <f t="shared" si="61"/>
        <v>0.99241000000000001</v>
      </c>
      <c r="CP12" s="38">
        <f t="shared" ca="1" si="62"/>
        <v>-103.73722990735099</v>
      </c>
      <c r="CQ12" s="38">
        <f>(AJ5+AX16+BM16+AV21)</f>
        <v>596.93000000000006</v>
      </c>
      <c r="CR12" s="38">
        <f t="shared" ca="1" si="63"/>
        <v>13070.689223629906</v>
      </c>
      <c r="CS12" s="38">
        <f ca="1">IF(CR12&gt;=CC2*7.5,CC2*7.5,CR12)</f>
        <v>13070.689223629906</v>
      </c>
      <c r="CT12" s="38" t="s">
        <v>0</v>
      </c>
      <c r="CU12" s="38">
        <f t="shared" ca="1" si="64"/>
        <v>13667.619223629907</v>
      </c>
      <c r="CV12" s="38">
        <f t="shared" ca="1" si="65"/>
        <v>2801.8619408441309</v>
      </c>
      <c r="CW12" s="38">
        <f t="shared" ca="1" si="66"/>
        <v>136.67619223629907</v>
      </c>
      <c r="CX12" s="38">
        <f t="shared" ca="1" si="67"/>
        <v>-683.38096118149542</v>
      </c>
      <c r="CY12" s="38">
        <f t="shared" ca="1" si="68"/>
        <v>15922.776395528841</v>
      </c>
      <c r="CZ12" s="38" t="s">
        <v>0</v>
      </c>
      <c r="DA12" s="38">
        <f ca="1">(CW23)</f>
        <v>27304.19262793244</v>
      </c>
      <c r="DB12" s="38">
        <f ca="1">(DA12*0.205)</f>
        <v>5597.3594887261497</v>
      </c>
      <c r="DC12" s="38">
        <f ca="1">(DA12*0.01)</f>
        <v>273.0419262793244</v>
      </c>
      <c r="DD12" s="38">
        <f ca="1">(DA12*0.05*-1)</f>
        <v>-1365.2096313966222</v>
      </c>
      <c r="DE12" s="38">
        <f ca="1">(DA12+DB12+DC12+DD12)</f>
        <v>31809.38441154129</v>
      </c>
      <c r="DF12" s="42">
        <v>10</v>
      </c>
      <c r="DG12" s="46">
        <v>5</v>
      </c>
      <c r="DH12" s="47">
        <v>0.12</v>
      </c>
      <c r="DI12" s="55"/>
    </row>
    <row r="13" spans="1:113" ht="39.950000000000003" customHeight="1" x14ac:dyDescent="0.25">
      <c r="A13" s="76"/>
      <c r="B13" s="77"/>
      <c r="C13" s="67"/>
      <c r="D13" s="67"/>
      <c r="E13" s="78"/>
      <c r="F13" s="67"/>
      <c r="G13" s="67"/>
      <c r="H13" s="58"/>
      <c r="I13" s="58"/>
      <c r="J13" s="58"/>
      <c r="K13" s="67"/>
      <c r="L13" s="67"/>
      <c r="M13" s="67"/>
      <c r="N13" s="73"/>
      <c r="O13" s="18" t="s">
        <v>40</v>
      </c>
      <c r="P13" s="19">
        <f t="shared" si="69"/>
        <v>3552.3082584489744</v>
      </c>
      <c r="Q13" s="19">
        <f>COUNTIF(R1,"Ocak")*(AY20)*-1
+COUNTIF(R1,"Şubat")*(AY21)*-1
+COUNTIF(R1,"Mart")*(AY22)*-1
+COUNTIF(R1,"Nisan")*(AY23)*-1
+COUNTIF(R1,"Mayıs")*(AY24)*-1
+COUNTIF(R1,"Haziran")*(BK1)*-1
+COUNTIF(R1,"Temmuz")*(BK2)*-1
+COUNTIF(R1,"Ağustos")*(BK3)*-1
+COUNTIF(R1,"Eylül")*(BK4)*-1
+COUNTIF(R1,"Ekim")*(BK5)*-1
+COUNTIF(R1,"Kasım")*(BE20)*-1
+COUNTIF(R1,"Aralık")*(BE21)*-1
+COUNTIF(R1,"Yıllık Toplam")*(BE22)*-1
+COUNTIF(R1,"Yıllık Ortalama")*(BE23)*-1</f>
        <v>3552.3082584489744</v>
      </c>
      <c r="R13" s="72"/>
      <c r="S13" s="71"/>
      <c r="T13" s="27" t="s">
        <v>44</v>
      </c>
      <c r="U13" s="26" t="s">
        <v>89</v>
      </c>
      <c r="V13" s="60"/>
      <c r="W13" s="61"/>
      <c r="X13" s="63"/>
      <c r="Y13" s="62"/>
      <c r="Z13" s="30"/>
      <c r="AA13" s="32" t="s">
        <v>101</v>
      </c>
      <c r="AB13" s="33">
        <v>290</v>
      </c>
      <c r="AC13" s="33">
        <v>290</v>
      </c>
      <c r="AD13" s="33">
        <v>290</v>
      </c>
      <c r="AE13" s="34">
        <f>(AF12+1)</f>
        <v>44593</v>
      </c>
      <c r="AF13" s="34">
        <f>EOMONTH(AE13,0)</f>
        <v>44620</v>
      </c>
      <c r="AG13" s="35">
        <f>DAY(AF13)</f>
        <v>28</v>
      </c>
      <c r="AH13" s="35">
        <f>NETWORKDAYS.INTL(AE13,AF13,11)</f>
        <v>24</v>
      </c>
      <c r="AI13" s="35">
        <f>(AG13-AH13)</f>
        <v>4</v>
      </c>
      <c r="AJ13" s="36" t="s">
        <v>0</v>
      </c>
      <c r="AK13" s="33">
        <f>(AL13/CM12)</f>
        <v>318.72841015657457</v>
      </c>
      <c r="AL13" s="33">
        <f>COUNTIF($A$1,"1S-Kaptan-Üniversite")*($AB$1)
+COUNTIF($A$1,"1S-Kaptan-MYO")*($AB$2)
+COUNTIF($A$1,"1S-Kaptan-Lise")*($AB$3)
+COUNTIF($A$1,"1S-Kaptan-Ortaokul")*($AB$4)
+COUNTIF($A$1,"1S-Kaptan-İlkokul")*($AB$5)
+COUNTIF($A$1,"1S-Baş Makinist-Üniversite")*($AB$6)
+COUNTIF($A$1,"1S-Baş Makinist-MYO")*($AB$7)
+COUNTIF($A$1,"1S-Baş Makinist-Lise")*($AB$8)
+COUNTIF($A$1,"1S-Baş Makinist-Ortaokul")*($AB$9)
+COUNTIF($A$1,"1S-Baş Makinist-İlkokul")*($AB$10)
+COUNTIF($A$1,"1S-İkinci Kaptan-Üniversite")*($AB$11)
+COUNTIF($A$1,"1S-İkinci Kaptan-MYO")*($AB$12)
+COUNTIF($A$1,"1S-İkinci Kaptan-Lise")*($AB$13)
+COUNTIF($A$1,"1S-İkinci Kaptan-Ortaokul")*($AB$14)
+COUNTIF($A$1,"1S-İkinci Kaptan-İlkokul")*($AB$15)
+COUNTIF($A$1,"1S-Usta Gemici-Üniversite")*($AB$16)
+COUNTIF($A$1,"1S-Usta Gemici-MYO")*($AB$17)
+COUNTIF($A$1,"1S-Usta Gemici-Lise")*($AB$18)
+COUNTIF($A$1,"1S-Usta Gemici-Ortaokul")*($AB$19)
+COUNTIF($A$1,"1S-Usta Gemici-İlkokul")*($AB$20)
+COUNTIF($A$1,"1S-Yağcı-Üniversite")*($AB$21)
+COUNTIF($A$1,"1S-Yağcı-MYO")*($AB$22)
+COUNTIF($A$1,"1S-Yağcı-Lise")*($AB$23)
+COUNTIF($A$1,"1S-Yağcı-Ortaokul")*($AB$24)
+COUNTIF($A$1,"1S-Yağcı-İlkokul")*($AB$25)
+COUNTIF($A$1,"2S-Kaptan-Üniversite")*($AB$26)
+COUNTIF($A$1,"2S-Kaptan-MYO")*($AB$27)
+COUNTIF($A$1,"2S-Kaptan-Lise")*($AB$28)
+COUNTIF($A$1,"2S-Kaptan-Ortaokul")*($AB$29)
+COUNTIF($A$1,"2S-Kaptan-İlkokul")*($AB$30)
+COUNTIF($A$1,"2S-Baş Makinist-Üniversite")*($AB$31)
+COUNTIF($A$1,"2S-Baş Makinist-MYO")*($AB$32)
+COUNTIF($A$1,"2S-Baş Makinist-Lise")*($AB$33)
+COUNTIF($A$1,"2S-Baş Makinist-Ortaokul")*($AB$34)
+COUNTIF($A$1,"2S-Baş Makinist-İlkokul")*($AB$35)
+COUNTIF($A$1,"2S-İkinci Kaptan-Üniversite")*($AB$36)
+COUNTIF($A$1,"2S-İkinci Kaptan-MYO")*($AB$37)
+COUNTIF($A$1,"2S-İkinci Kaptan-Lise")*($AB$38)
+COUNTIF($A$1,"2S-İkinci Kaptan-Ortaokul")*($AB$39)
+COUNTIF($A$1,"2S-İkinci Kaptan-İlkokul")*($AB$40)
+COUNTIF($A$1,"2S-Usta Gemici-Üniversite")*($AB$41)
+COUNTIF($A$1,"2S-Usta Gemici-MYO")*($AB$42)
+COUNTIF($A$1,"2S-Usta Gemici-Lise")*($AB$43)
+COUNTIF($A$1,"2S-Usta Gemici-Ortaokul")*($AB$44)
+COUNTIF($A$1,"2S-Usta Gemici-İlkokul")*($AB$45)
+COUNTIF($A$1,"2S-Yağcı-Üniversite")*($AB$46)
+COUNTIF($A$1,"2S-Yağcı-MYO")*($AB$47)
+COUNTIF($A$1,"2S-Yağcı-Lise")*($AB$48)
+COUNTIF($A$1,"2S-Yağcı-Ortaokul")*($AB$49)
+COUNTIF($A$1,"2S-Yağcı-İlkokul")*($AB$50)
+COUNTIF($A$1,"2S-Gemici-Üniversite")*($AB$51)
+COUNTIF($A$1,"2S-Gemici-MYO")*($AB$52)
+COUNTIF($A$1,"2S-Gemici-Lise")*($AB$53)
+COUNTIF($A$1,"2S-Gemici-Ortaokul")*($AB$54)
+COUNTIF($A$1,"2S-Gemici-İlkokul")*($AB$55)
+COUNTIF($A$1,"2S-Gemi Salon Sorumlusu-Üniversite")*($AB$56)
+COUNTIF($A$1,"2S-Gemi Salon Sorumlusu-MYO")*($AB$57)
+COUNTIF($A$1,"2S-Gemi Salon Sorumlusu-Lise")*($AB$58)
+COUNTIF($A$1,"2S-Gemi Salon Sorumlusu-Ortaokul")*($AB$59)
+COUNTIF($A$1,"2S-Gemi Salon Sorumlusu-İlkokul")*($AB$60)</f>
        <v>268.5</v>
      </c>
      <c r="AM13" s="33">
        <f>(AN13/CM12)</f>
        <v>318.72841015657457</v>
      </c>
      <c r="AN13" s="33">
        <f>COUNTIF($A$1,"1S-Kaptan-Üniversite")*($AB$1)
+COUNTIF($A$1,"1S-Kaptan-MYO")*($AB$2)
+COUNTIF($A$1,"1S-Kaptan-Lise")*($AB$3)
+COUNTIF($A$1,"1S-Kaptan-Ortaokul")*($AB$4)
+COUNTIF($A$1,"1S-Kaptan-İlkokul")*($AB$5)
+COUNTIF($A$1,"1S-Baş Makinist-Üniversite")*($AB$6)
+COUNTIF($A$1,"1S-Baş Makinist-MYO")*($AB$7)
+COUNTIF($A$1,"1S-Baş Makinist-Lise")*($AB$8)
+COUNTIF($A$1,"1S-Baş Makinist-Ortaokul")*($AB$9)
+COUNTIF($A$1,"1S-Baş Makinist-İlkokul")*($AB$10)
+COUNTIF($A$1,"1S-İkinci Kaptan-Üniversite")*($AB$11)
+COUNTIF($A$1,"1S-İkinci Kaptan-MYO")*($AB$12)
+COUNTIF($A$1,"1S-İkinci Kaptan-Lise")*($AB$13)
+COUNTIF($A$1,"1S-İkinci Kaptan-Ortaokul")*($AB$14)
+COUNTIF($A$1,"1S-İkinci Kaptan-İlkokul")*($AB$15)
+COUNTIF($A$1,"1S-Usta Gemici-Üniversite")*($AB$16)
+COUNTIF($A$1,"1S-Usta Gemici-MYO")*($AB$17)
+COUNTIF($A$1,"1S-Usta Gemici-Lise")*($AB$18)
+COUNTIF($A$1,"1S-Usta Gemici-Ortaokul")*($AB$19)
+COUNTIF($A$1,"1S-Usta Gemici-İlkokul")*($AB$20)
+COUNTIF($A$1,"1S-Yağcı-Üniversite")*($AB$21)
+COUNTIF($A$1,"1S-Yağcı-MYO")*($AB$22)
+COUNTIF($A$1,"1S-Yağcı-Lise")*($AB$23)
+COUNTIF($A$1,"1S-Yağcı-Ortaokul")*($AB$24)
+COUNTIF($A$1,"1S-Yağcı-İlkokul")*($AB$25)
+COUNTIF($A$1,"2S-Kaptan-Üniversite")*($AB$26)
+COUNTIF($A$1,"2S-Kaptan-MYO")*($AB$27)
+COUNTIF($A$1,"2S-Kaptan-Lise")*($AB$28)
+COUNTIF($A$1,"2S-Kaptan-Ortaokul")*($AB$29)
+COUNTIF($A$1,"2S-Kaptan-İlkokul")*($AB$30)
+COUNTIF($A$1,"2S-Baş Makinist-Üniversite")*($AB$31)
+COUNTIF($A$1,"2S-Baş Makinist-MYO")*($AB$32)
+COUNTIF($A$1,"2S-Baş Makinist-Lise")*($AB$33)
+COUNTIF($A$1,"2S-Baş Makinist-Ortaokul")*($AB$34)
+COUNTIF($A$1,"2S-Baş Makinist-İlkokul")*($AB$35)
+COUNTIF($A$1,"2S-İkinci Kaptan-Üniversite")*($AB$36)
+COUNTIF($A$1,"2S-İkinci Kaptan-MYO")*($AB$37)
+COUNTIF($A$1,"2S-İkinci Kaptan-Lise")*($AB$38)
+COUNTIF($A$1,"2S-İkinci Kaptan-Ortaokul")*($AB$39)
+COUNTIF($A$1,"2S-İkinci Kaptan-İlkokul")*($AB$40)
+COUNTIF($A$1,"2S-Usta Gemici-Üniversite")*($AB$41)
+COUNTIF($A$1,"2S-Usta Gemici-MYO")*($AB$42)
+COUNTIF($A$1,"2S-Usta Gemici-Lise")*($AB$43)
+COUNTIF($A$1,"2S-Usta Gemici-Ortaokul")*($AB$44)
+COUNTIF($A$1,"2S-Usta Gemici-İlkokul")*($AB$45)
+COUNTIF($A$1,"2S-Yağcı-Üniversite")*($AB$46)
+COUNTIF($A$1,"2S-Yağcı-MYO")*($AB$47)
+COUNTIF($A$1,"2S-Yağcı-Lise")*($AB$48)
+COUNTIF($A$1,"2S-Yağcı-Ortaokul")*($AB$49)
+COUNTIF($A$1,"2S-Yağcı-İlkokul")*($AB$50)
+COUNTIF($A$1,"2S-Gemici-Üniversite")*($AB$51)
+COUNTIF($A$1,"2S-Gemici-MYO")*($AB$52)
+COUNTIF($A$1,"2S-Gemici-Lise")*($AB$53)
+COUNTIF($A$1,"2S-Gemici-Ortaokul")*($AB$54)
+COUNTIF($A$1,"2S-Gemici-İlkokul")*($AB$55)
+COUNTIF($A$1,"2S-Gemi Salon Sorumlusu-Üniversite")*($AB$56)
+COUNTIF($A$1,"2S-Gemi Salon Sorumlusu-MYO")*($AB$57)
+COUNTIF($A$1,"2S-Gemi Salon Sorumlusu-Lise")*($AB$58)
+COUNTIF($A$1,"2S-Gemi Salon Sorumlusu-Ortaokul")*($AB$59)
+COUNTIF($A$1,"2S-Gemi Salon Sorumlusu-İlkokul")*($AB$60)</f>
        <v>268.5</v>
      </c>
      <c r="AO13" s="33">
        <f>(AP13/CM12)</f>
        <v>318.72841015657457</v>
      </c>
      <c r="AP13" s="33">
        <f>COUNTIF($A$1,"1S-Kaptan-Üniversite")*($AB$1)
+COUNTIF($A$1,"1S-Kaptan-MYO")*($AB$2)
+COUNTIF($A$1,"1S-Kaptan-Lise")*($AB$3)
+COUNTIF($A$1,"1S-Kaptan-Ortaokul")*($AB$4)
+COUNTIF($A$1,"1S-Kaptan-İlkokul")*($AB$5)
+COUNTIF($A$1,"1S-Baş Makinist-Üniversite")*($AB$6)
+COUNTIF($A$1,"1S-Baş Makinist-MYO")*($AB$7)
+COUNTIF($A$1,"1S-Baş Makinist-Lise")*($AB$8)
+COUNTIF($A$1,"1S-Baş Makinist-Ortaokul")*($AB$9)
+COUNTIF($A$1,"1S-Baş Makinist-İlkokul")*($AB$10)
+COUNTIF($A$1,"1S-İkinci Kaptan-Üniversite")*($AB$11)
+COUNTIF($A$1,"1S-İkinci Kaptan-MYO")*($AB$12)
+COUNTIF($A$1,"1S-İkinci Kaptan-Lise")*($AB$13)
+COUNTIF($A$1,"1S-İkinci Kaptan-Ortaokul")*($AB$14)
+COUNTIF($A$1,"1S-İkinci Kaptan-İlkokul")*($AB$15)
+COUNTIF($A$1,"1S-Usta Gemici-Üniversite")*($AB$16)
+COUNTIF($A$1,"1S-Usta Gemici-MYO")*($AB$17)
+COUNTIF($A$1,"1S-Usta Gemici-Lise")*($AB$18)
+COUNTIF($A$1,"1S-Usta Gemici-Ortaokul")*($AB$19)
+COUNTIF($A$1,"1S-Usta Gemici-İlkokul")*($AB$20)
+COUNTIF($A$1,"1S-Yağcı-Üniversite")*($AB$21)
+COUNTIF($A$1,"1S-Yağcı-MYO")*($AB$22)
+COUNTIF($A$1,"1S-Yağcı-Lise")*($AB$23)
+COUNTIF($A$1,"1S-Yağcı-Ortaokul")*($AB$24)
+COUNTIF($A$1,"1S-Yağcı-İlkokul")*($AB$25)
+COUNTIF($A$1,"2S-Kaptan-Üniversite")*($AB$26)
+COUNTIF($A$1,"2S-Kaptan-MYO")*($AB$27)
+COUNTIF($A$1,"2S-Kaptan-Lise")*($AB$28)
+COUNTIF($A$1,"2S-Kaptan-Ortaokul")*($AB$29)
+COUNTIF($A$1,"2S-Kaptan-İlkokul")*($AB$30)
+COUNTIF($A$1,"2S-Baş Makinist-Üniversite")*($AB$31)
+COUNTIF($A$1,"2S-Baş Makinist-MYO")*($AB$32)
+COUNTIF($A$1,"2S-Baş Makinist-Lise")*($AB$33)
+COUNTIF($A$1,"2S-Baş Makinist-Ortaokul")*($AB$34)
+COUNTIF($A$1,"2S-Baş Makinist-İlkokul")*($AB$35)
+COUNTIF($A$1,"2S-İkinci Kaptan-Üniversite")*($AB$36)
+COUNTIF($A$1,"2S-İkinci Kaptan-MYO")*($AB$37)
+COUNTIF($A$1,"2S-İkinci Kaptan-Lise")*($AB$38)
+COUNTIF($A$1,"2S-İkinci Kaptan-Ortaokul")*($AB$39)
+COUNTIF($A$1,"2S-İkinci Kaptan-İlkokul")*($AB$40)
+COUNTIF($A$1,"2S-Usta Gemici-Üniversite")*($AB$41)
+COUNTIF($A$1,"2S-Usta Gemici-MYO")*($AB$42)
+COUNTIF($A$1,"2S-Usta Gemici-Lise")*($AB$43)
+COUNTIF($A$1,"2S-Usta Gemici-Ortaokul")*($AB$44)
+COUNTIF($A$1,"2S-Usta Gemici-İlkokul")*($AB$45)
+COUNTIF($A$1,"2S-Yağcı-Üniversite")*($AB$46)
+COUNTIF($A$1,"2S-Yağcı-MYO")*($AB$47)
+COUNTIF($A$1,"2S-Yağcı-Lise")*($AB$48)
+COUNTIF($A$1,"2S-Yağcı-Ortaokul")*($AB$49)
+COUNTIF($A$1,"2S-Yağcı-İlkokul")*($AB$50)
+COUNTIF($A$1,"2S-Gemici-Üniversite")*($AB$51)
+COUNTIF($A$1,"2S-Gemici-MYO")*($AB$52)
+COUNTIF($A$1,"2S-Gemici-Lise")*($AB$53)
+COUNTIF($A$1,"2S-Gemici-Ortaokul")*($AB$54)
+COUNTIF($A$1,"2S-Gemici-İlkokul")*($AB$55)
+COUNTIF($A$1,"2S-Gemi Salon Sorumlusu-Üniversite")*($AB$56)
+COUNTIF($A$1,"2S-Gemi Salon Sorumlusu-MYO")*($AB$57)
+COUNTIF($A$1,"2S-Gemi Salon Sorumlusu-Lise")*($AB$58)
+COUNTIF($A$1,"2S-Gemi Salon Sorumlusu-Ortaokul")*($AB$59)
+COUNTIF($A$1,"2S-Gemi Salon Sorumlusu-İlkokul")*($AB$60)</f>
        <v>268.5</v>
      </c>
      <c r="AQ13" s="36" t="s">
        <v>0</v>
      </c>
      <c r="AR13" s="37">
        <f>(AS13/CM12)</f>
        <v>8924.3954843840893</v>
      </c>
      <c r="AS13" s="38">
        <f>(AP13*AG13)</f>
        <v>7518</v>
      </c>
      <c r="AT13" s="38">
        <f t="shared" ref="AT13:AU13" si="71">(AT1+AT2+AT3+AT4+AT5+AT6+AT7+AT8+AT9+AT10+AT11+AT12)</f>
        <v>0</v>
      </c>
      <c r="AU13" s="38">
        <f t="shared" si="71"/>
        <v>0</v>
      </c>
      <c r="AV13" s="38">
        <f t="shared" ref="AV13:AW13" si="72">(AV1+AV2+AV3+AV4+AV5+AV6+AV7+AV8+AV9+AV10+AV11+AV12)</f>
        <v>25655.559644353703</v>
      </c>
      <c r="AW13" s="38">
        <f t="shared" si="72"/>
        <v>21612.5</v>
      </c>
      <c r="AX13" s="38">
        <f t="shared" ref="AX13:AY13" si="73">(AX1+AX2+AX3+AX4+AX5+AX6+AX7+AX8+AX9+AX10+AX11+AX12)</f>
        <v>0</v>
      </c>
      <c r="AY13" s="38">
        <f t="shared" si="73"/>
        <v>0</v>
      </c>
      <c r="AZ13" s="38">
        <f t="shared" ref="AZ13:BK13" ca="1" si="74">(AE4+AE5+AE6+AE7+AE8+AZ6+AZ7+AZ8+AZ9+AZ10+AZ11+AZ12)</f>
        <v>12567.399717800001</v>
      </c>
      <c r="BA13" s="38">
        <f t="shared" si="74"/>
        <v>11000</v>
      </c>
      <c r="BB13" s="38">
        <f t="shared" si="74"/>
        <v>11000</v>
      </c>
      <c r="BC13" s="38">
        <f t="shared" ca="1" si="74"/>
        <v>12567.420000000002</v>
      </c>
      <c r="BD13" s="38">
        <f t="shared" ca="1" si="74"/>
        <v>-95.386717800000014</v>
      </c>
      <c r="BE13" s="38">
        <f t="shared" si="74"/>
        <v>2754.0000000000005</v>
      </c>
      <c r="BF13" s="38">
        <f t="shared" ca="1" si="74"/>
        <v>9813.4199999999983</v>
      </c>
      <c r="BG13" s="38">
        <f t="shared" ca="1" si="74"/>
        <v>-1373.8788000000002</v>
      </c>
      <c r="BH13" s="38">
        <f t="shared" ca="1" si="74"/>
        <v>-98.134199999999979</v>
      </c>
      <c r="BI13" s="38">
        <f t="shared" si="74"/>
        <v>0</v>
      </c>
      <c r="BJ13" s="38">
        <f t="shared" ca="1" si="74"/>
        <v>11095.406999999999</v>
      </c>
      <c r="BK13" s="38">
        <f t="shared" si="74"/>
        <v>0</v>
      </c>
      <c r="BS13" s="38" t="s">
        <v>0</v>
      </c>
      <c r="BT13" s="38" t="s">
        <v>0</v>
      </c>
      <c r="BU13" s="38" t="s">
        <v>0</v>
      </c>
      <c r="BV13" s="38" t="s">
        <v>0</v>
      </c>
      <c r="BW13" s="45" t="s">
        <v>72</v>
      </c>
      <c r="BX13" s="39">
        <v>733.47</v>
      </c>
      <c r="BY13" s="38">
        <f>(0)</f>
        <v>0</v>
      </c>
      <c r="BZ13" s="38">
        <f>(BK23+BQ23+BR23-BY13)</f>
        <v>5500.3499999999995</v>
      </c>
      <c r="CA13" s="38">
        <f>SUM(BZ$7:$BZ13)</f>
        <v>31020.75</v>
      </c>
      <c r="CB13" s="49">
        <f t="shared" si="27"/>
        <v>0.15</v>
      </c>
      <c r="CC13" s="40">
        <f t="shared" si="36"/>
        <v>0</v>
      </c>
      <c r="CD13" s="38">
        <f>(BI6+AI9+BH1+BL1)</f>
        <v>286.85556914091711</v>
      </c>
      <c r="CE13" s="38">
        <f t="shared" ca="1" si="37"/>
        <v>20525.465514866839</v>
      </c>
      <c r="CF13" s="38">
        <f ca="1">SUM($CE$8:CE13)</f>
        <v>89821.846897839074</v>
      </c>
      <c r="CG13" s="49">
        <f t="shared" ca="1" si="38"/>
        <v>0.27</v>
      </c>
      <c r="CH13" s="40">
        <f t="shared" ca="1" si="40"/>
        <v>1</v>
      </c>
      <c r="CI13" s="44">
        <f>(0)</f>
        <v>0</v>
      </c>
      <c r="CJ13" s="38">
        <f>(0)</f>
        <v>0</v>
      </c>
      <c r="CK13" s="38">
        <f>(0)</f>
        <v>0</v>
      </c>
      <c r="CL13" s="38">
        <f t="shared" si="59"/>
        <v>0</v>
      </c>
      <c r="CM13" s="44">
        <f t="shared" si="70"/>
        <v>0.84240999999999999</v>
      </c>
      <c r="CN13" s="44">
        <f t="shared" si="60"/>
        <v>0.84240999999999999</v>
      </c>
      <c r="CO13" s="44">
        <f t="shared" si="61"/>
        <v>0.99241000000000001</v>
      </c>
      <c r="CP13" s="38">
        <f t="shared" ca="1" si="62"/>
        <v>-185.91170160325225</v>
      </c>
      <c r="CQ13" s="38">
        <f>(AJ6+AX17+BM17+AV22)</f>
        <v>596.93000000000006</v>
      </c>
      <c r="CR13" s="38">
        <f t="shared" ca="1" si="63"/>
        <v>23897.36533639687</v>
      </c>
      <c r="CS13" s="38">
        <f ca="1">IF(CR13&gt;=CC3*7.5,CC3*7.5,CR13)</f>
        <v>23897.36533639687</v>
      </c>
      <c r="CT13" s="38" t="s">
        <v>0</v>
      </c>
      <c r="CU13" s="38">
        <f t="shared" ca="1" si="64"/>
        <v>24494.29533639687</v>
      </c>
      <c r="CV13" s="38">
        <f t="shared" ca="1" si="65"/>
        <v>5021.3305439613578</v>
      </c>
      <c r="CW13" s="38">
        <f t="shared" ca="1" si="66"/>
        <v>244.94295336396871</v>
      </c>
      <c r="CX13" s="38">
        <f t="shared" ca="1" si="67"/>
        <v>-1224.7147668198436</v>
      </c>
      <c r="CY13" s="38">
        <f t="shared" ca="1" si="68"/>
        <v>28535.854066902353</v>
      </c>
      <c r="CZ13" s="38" t="s">
        <v>0</v>
      </c>
      <c r="DA13" s="38">
        <f ca="1">(CW24)</f>
        <v>17785.965161496857</v>
      </c>
      <c r="DB13" s="38">
        <f ca="1">(DA13*0.205)</f>
        <v>3646.1228581068553</v>
      </c>
      <c r="DC13" s="38">
        <f ca="1">(DA13*0.01)</f>
        <v>177.85965161496858</v>
      </c>
      <c r="DD13" s="38">
        <f ca="1">(DA13*0.05*-1)</f>
        <v>-889.29825807484292</v>
      </c>
      <c r="DE13" s="38">
        <f ca="1">(DA13+DB13+DC13+DD13)</f>
        <v>20720.649413143838</v>
      </c>
      <c r="DF13" s="42">
        <v>11</v>
      </c>
      <c r="DG13" s="46">
        <v>5.5</v>
      </c>
      <c r="DH13" s="47">
        <v>0.13</v>
      </c>
      <c r="DI13" s="55"/>
    </row>
    <row r="14" spans="1:113" ht="39.950000000000003" customHeight="1" x14ac:dyDescent="0.25">
      <c r="A14" s="76"/>
      <c r="B14" s="77"/>
      <c r="C14" s="67"/>
      <c r="D14" s="67"/>
      <c r="E14" s="78"/>
      <c r="F14" s="67"/>
      <c r="G14" s="67"/>
      <c r="H14" s="59"/>
      <c r="I14" s="59"/>
      <c r="J14" s="59"/>
      <c r="K14" s="67"/>
      <c r="L14" s="67"/>
      <c r="M14" s="67"/>
      <c r="N14" s="73"/>
      <c r="O14" s="18" t="s">
        <v>34</v>
      </c>
      <c r="P14" s="19">
        <f t="shared" ca="1" si="69"/>
        <v>0</v>
      </c>
      <c r="Q14" s="19">
        <f ca="1">COUNTIF(R1,"Ocak")*(CA1)*-1
+COUNTIF(R1,"Şubat")*(CA2)*-1
+COUNTIF(R1,"Mart")*(CA3)*-1
+COUNTIF(R1,"Nisan")*(CA4)*-1
+COUNTIF(R1,"Mayıs")*(CA5)*-1
+COUNTIF(R1,"Haziran")*(BI22)*-1
+COUNTIF(R1,"Temmuz")*(BI23)*-1
+COUNTIF(R1,"Ağustos")*(BI24)*-1
+COUNTIF(R1,"Eylül")*(BI25)*-1
+COUNTIF(R1,"Ekim")*(AW25)*-1
+COUNTIF(R1,"Kasım")*(AW26)*-1
+COUNTIF(R1,"Aralık")*(AW27)*-1
+COUNTIF(R1,"Yıllık Toplam")*(AW28)*-1
+COUNTIF(R1,"Yıllık Ortalama")*(AW29)*-1</f>
        <v>0</v>
      </c>
      <c r="R14" s="72"/>
      <c r="S14" s="71"/>
      <c r="T14" s="24" t="s">
        <v>50</v>
      </c>
      <c r="U14" s="25" t="s">
        <v>90</v>
      </c>
      <c r="V14" s="60"/>
      <c r="W14" s="61"/>
      <c r="X14" s="63"/>
      <c r="Y14" s="62"/>
      <c r="Z14" s="30"/>
      <c r="AA14" s="32" t="s">
        <v>102</v>
      </c>
      <c r="AB14" s="33">
        <v>283.48</v>
      </c>
      <c r="AC14" s="33">
        <v>283.48</v>
      </c>
      <c r="AD14" s="33">
        <v>283.48</v>
      </c>
      <c r="AE14" s="34">
        <f>(AF13+1)</f>
        <v>44621</v>
      </c>
      <c r="AF14" s="34">
        <f>EOMONTH(AE14,0)</f>
        <v>44651</v>
      </c>
      <c r="AG14" s="35">
        <f>DAY(AF14)</f>
        <v>31</v>
      </c>
      <c r="AH14" s="35">
        <f>NETWORKDAYS.INTL(AE14,AF14,11)</f>
        <v>27</v>
      </c>
      <c r="AI14" s="35">
        <f>(AG14-AH14)</f>
        <v>4</v>
      </c>
      <c r="AJ14" s="36" t="s">
        <v>0</v>
      </c>
      <c r="AK14" s="33">
        <f>(AL14/CM13)</f>
        <v>318.72841015657457</v>
      </c>
      <c r="AL14" s="33">
        <f>COUNTIF($A$1,"1S-Kaptan-Üniversite")*($AB$1)
+COUNTIF($A$1,"1S-Kaptan-MYO")*($AB$2)
+COUNTIF($A$1,"1S-Kaptan-Lise")*($AB$3)
+COUNTIF($A$1,"1S-Kaptan-Ortaokul")*($AB$4)
+COUNTIF($A$1,"1S-Kaptan-İlkokul")*($AB$5)
+COUNTIF($A$1,"1S-Baş Makinist-Üniversite")*($AB$6)
+COUNTIF($A$1,"1S-Baş Makinist-MYO")*($AB$7)
+COUNTIF($A$1,"1S-Baş Makinist-Lise")*($AB$8)
+COUNTIF($A$1,"1S-Baş Makinist-Ortaokul")*($AB$9)
+COUNTIF($A$1,"1S-Baş Makinist-İlkokul")*($AB$10)
+COUNTIF($A$1,"1S-İkinci Kaptan-Üniversite")*($AB$11)
+COUNTIF($A$1,"1S-İkinci Kaptan-MYO")*($AB$12)
+COUNTIF($A$1,"1S-İkinci Kaptan-Lise")*($AB$13)
+COUNTIF($A$1,"1S-İkinci Kaptan-Ortaokul")*($AB$14)
+COUNTIF($A$1,"1S-İkinci Kaptan-İlkokul")*($AB$15)
+COUNTIF($A$1,"1S-Usta Gemici-Üniversite")*($AB$16)
+COUNTIF($A$1,"1S-Usta Gemici-MYO")*($AB$17)
+COUNTIF($A$1,"1S-Usta Gemici-Lise")*($AB$18)
+COUNTIF($A$1,"1S-Usta Gemici-Ortaokul")*($AB$19)
+COUNTIF($A$1,"1S-Usta Gemici-İlkokul")*($AB$20)
+COUNTIF($A$1,"1S-Yağcı-Üniversite")*($AB$21)
+COUNTIF($A$1,"1S-Yağcı-MYO")*($AB$22)
+COUNTIF($A$1,"1S-Yağcı-Lise")*($AB$23)
+COUNTIF($A$1,"1S-Yağcı-Ortaokul")*($AB$24)
+COUNTIF($A$1,"1S-Yağcı-İlkokul")*($AB$25)
+COUNTIF($A$1,"2S-Kaptan-Üniversite")*($AB$26)
+COUNTIF($A$1,"2S-Kaptan-MYO")*($AB$27)
+COUNTIF($A$1,"2S-Kaptan-Lise")*($AB$28)
+COUNTIF($A$1,"2S-Kaptan-Ortaokul")*($AB$29)
+COUNTIF($A$1,"2S-Kaptan-İlkokul")*($AB$30)
+COUNTIF($A$1,"2S-Baş Makinist-Üniversite")*($AB$31)
+COUNTIF($A$1,"2S-Baş Makinist-MYO")*($AB$32)
+COUNTIF($A$1,"2S-Baş Makinist-Lise")*($AB$33)
+COUNTIF($A$1,"2S-Baş Makinist-Ortaokul")*($AB$34)
+COUNTIF($A$1,"2S-Baş Makinist-İlkokul")*($AB$35)
+COUNTIF($A$1,"2S-İkinci Kaptan-Üniversite")*($AB$36)
+COUNTIF($A$1,"2S-İkinci Kaptan-MYO")*($AB$37)
+COUNTIF($A$1,"2S-İkinci Kaptan-Lise")*($AB$38)
+COUNTIF($A$1,"2S-İkinci Kaptan-Ortaokul")*($AB$39)
+COUNTIF($A$1,"2S-İkinci Kaptan-İlkokul")*($AB$40)
+COUNTIF($A$1,"2S-Usta Gemici-Üniversite")*($AB$41)
+COUNTIF($A$1,"2S-Usta Gemici-MYO")*($AB$42)
+COUNTIF($A$1,"2S-Usta Gemici-Lise")*($AB$43)
+COUNTIF($A$1,"2S-Usta Gemici-Ortaokul")*($AB$44)
+COUNTIF($A$1,"2S-Usta Gemici-İlkokul")*($AB$45)
+COUNTIF($A$1,"2S-Yağcı-Üniversite")*($AB$46)
+COUNTIF($A$1,"2S-Yağcı-MYO")*($AB$47)
+COUNTIF($A$1,"2S-Yağcı-Lise")*($AB$48)
+COUNTIF($A$1,"2S-Yağcı-Ortaokul")*($AB$49)
+COUNTIF($A$1,"2S-Yağcı-İlkokul")*($AB$50)
+COUNTIF($A$1,"2S-Gemici-Üniversite")*($AB$51)
+COUNTIF($A$1,"2S-Gemici-MYO")*($AB$52)
+COUNTIF($A$1,"2S-Gemici-Lise")*($AB$53)
+COUNTIF($A$1,"2S-Gemici-Ortaokul")*($AB$54)
+COUNTIF($A$1,"2S-Gemici-İlkokul")*($AB$55)
+COUNTIF($A$1,"2S-Gemi Salon Sorumlusu-Üniversite")*($AB$56)
+COUNTIF($A$1,"2S-Gemi Salon Sorumlusu-MYO")*($AB$57)
+COUNTIF($A$1,"2S-Gemi Salon Sorumlusu-Lise")*($AB$58)
+COUNTIF($A$1,"2S-Gemi Salon Sorumlusu-Ortaokul")*($AB$59)
+COUNTIF($A$1,"2S-Gemi Salon Sorumlusu-İlkokul")*($AB$60)</f>
        <v>268.5</v>
      </c>
      <c r="AM14" s="33">
        <f>(AN14/CM13)</f>
        <v>318.72841015657457</v>
      </c>
      <c r="AN14" s="33">
        <f>COUNTIF($A$1,"1S-Kaptan-Üniversite")*($AB$1)
+COUNTIF($A$1,"1S-Kaptan-MYO")*($AB$2)
+COUNTIF($A$1,"1S-Kaptan-Lise")*($AB$3)
+COUNTIF($A$1,"1S-Kaptan-Ortaokul")*($AB$4)
+COUNTIF($A$1,"1S-Kaptan-İlkokul")*($AB$5)
+COUNTIF($A$1,"1S-Baş Makinist-Üniversite")*($AB$6)
+COUNTIF($A$1,"1S-Baş Makinist-MYO")*($AB$7)
+COUNTIF($A$1,"1S-Baş Makinist-Lise")*($AB$8)
+COUNTIF($A$1,"1S-Baş Makinist-Ortaokul")*($AB$9)
+COUNTIF($A$1,"1S-Baş Makinist-İlkokul")*($AB$10)
+COUNTIF($A$1,"1S-İkinci Kaptan-Üniversite")*($AB$11)
+COUNTIF($A$1,"1S-İkinci Kaptan-MYO")*($AB$12)
+COUNTIF($A$1,"1S-İkinci Kaptan-Lise")*($AB$13)
+COUNTIF($A$1,"1S-İkinci Kaptan-Ortaokul")*($AB$14)
+COUNTIF($A$1,"1S-İkinci Kaptan-İlkokul")*($AB$15)
+COUNTIF($A$1,"1S-Usta Gemici-Üniversite")*($AB$16)
+COUNTIF($A$1,"1S-Usta Gemici-MYO")*($AB$17)
+COUNTIF($A$1,"1S-Usta Gemici-Lise")*($AB$18)
+COUNTIF($A$1,"1S-Usta Gemici-Ortaokul")*($AB$19)
+COUNTIF($A$1,"1S-Usta Gemici-İlkokul")*($AB$20)
+COUNTIF($A$1,"1S-Yağcı-Üniversite")*($AB$21)
+COUNTIF($A$1,"1S-Yağcı-MYO")*($AB$22)
+COUNTIF($A$1,"1S-Yağcı-Lise")*($AB$23)
+COUNTIF($A$1,"1S-Yağcı-Ortaokul")*($AB$24)
+COUNTIF($A$1,"1S-Yağcı-İlkokul")*($AB$25)
+COUNTIF($A$1,"2S-Kaptan-Üniversite")*($AB$26)
+COUNTIF($A$1,"2S-Kaptan-MYO")*($AB$27)
+COUNTIF($A$1,"2S-Kaptan-Lise")*($AB$28)
+COUNTIF($A$1,"2S-Kaptan-Ortaokul")*($AB$29)
+COUNTIF($A$1,"2S-Kaptan-İlkokul")*($AB$30)
+COUNTIF($A$1,"2S-Baş Makinist-Üniversite")*($AB$31)
+COUNTIF($A$1,"2S-Baş Makinist-MYO")*($AB$32)
+COUNTIF($A$1,"2S-Baş Makinist-Lise")*($AB$33)
+COUNTIF($A$1,"2S-Baş Makinist-Ortaokul")*($AB$34)
+COUNTIF($A$1,"2S-Baş Makinist-İlkokul")*($AB$35)
+COUNTIF($A$1,"2S-İkinci Kaptan-Üniversite")*($AB$36)
+COUNTIF($A$1,"2S-İkinci Kaptan-MYO")*($AB$37)
+COUNTIF($A$1,"2S-İkinci Kaptan-Lise")*($AB$38)
+COUNTIF($A$1,"2S-İkinci Kaptan-Ortaokul")*($AB$39)
+COUNTIF($A$1,"2S-İkinci Kaptan-İlkokul")*($AB$40)
+COUNTIF($A$1,"2S-Usta Gemici-Üniversite")*($AB$41)
+COUNTIF($A$1,"2S-Usta Gemici-MYO")*($AB$42)
+COUNTIF($A$1,"2S-Usta Gemici-Lise")*($AB$43)
+COUNTIF($A$1,"2S-Usta Gemici-Ortaokul")*($AB$44)
+COUNTIF($A$1,"2S-Usta Gemici-İlkokul")*($AB$45)
+COUNTIF($A$1,"2S-Yağcı-Üniversite")*($AB$46)
+COUNTIF($A$1,"2S-Yağcı-MYO")*($AB$47)
+COUNTIF($A$1,"2S-Yağcı-Lise")*($AB$48)
+COUNTIF($A$1,"2S-Yağcı-Ortaokul")*($AB$49)
+COUNTIF($A$1,"2S-Yağcı-İlkokul")*($AB$50)
+COUNTIF($A$1,"2S-Gemici-Üniversite")*($AB$51)
+COUNTIF($A$1,"2S-Gemici-MYO")*($AB$52)
+COUNTIF($A$1,"2S-Gemici-Lise")*($AB$53)
+COUNTIF($A$1,"2S-Gemici-Ortaokul")*($AB$54)
+COUNTIF($A$1,"2S-Gemici-İlkokul")*($AB$55)
+COUNTIF($A$1,"2S-Gemi Salon Sorumlusu-Üniversite")*($AB$56)
+COUNTIF($A$1,"2S-Gemi Salon Sorumlusu-MYO")*($AB$57)
+COUNTIF($A$1,"2S-Gemi Salon Sorumlusu-Lise")*($AB$58)
+COUNTIF($A$1,"2S-Gemi Salon Sorumlusu-Ortaokul")*($AB$59)
+COUNTIF($A$1,"2S-Gemi Salon Sorumlusu-İlkokul")*($AB$60)</f>
        <v>268.5</v>
      </c>
      <c r="AO14" s="33">
        <f>(AP14/CM13)</f>
        <v>318.72841015657457</v>
      </c>
      <c r="AP14" s="33">
        <f>COUNTIF($A$1,"1S-Kaptan-Üniversite")*($AB$1)
+COUNTIF($A$1,"1S-Kaptan-MYO")*($AB$2)
+COUNTIF($A$1,"1S-Kaptan-Lise")*($AB$3)
+COUNTIF($A$1,"1S-Kaptan-Ortaokul")*($AB$4)
+COUNTIF($A$1,"1S-Kaptan-İlkokul")*($AB$5)
+COUNTIF($A$1,"1S-Baş Makinist-Üniversite")*($AB$6)
+COUNTIF($A$1,"1S-Baş Makinist-MYO")*($AB$7)
+COUNTIF($A$1,"1S-Baş Makinist-Lise")*($AB$8)
+COUNTIF($A$1,"1S-Baş Makinist-Ortaokul")*($AB$9)
+COUNTIF($A$1,"1S-Baş Makinist-İlkokul")*($AB$10)
+COUNTIF($A$1,"1S-İkinci Kaptan-Üniversite")*($AB$11)
+COUNTIF($A$1,"1S-İkinci Kaptan-MYO")*($AB$12)
+COUNTIF($A$1,"1S-İkinci Kaptan-Lise")*($AB$13)
+COUNTIF($A$1,"1S-İkinci Kaptan-Ortaokul")*($AB$14)
+COUNTIF($A$1,"1S-İkinci Kaptan-İlkokul")*($AB$15)
+COUNTIF($A$1,"1S-Usta Gemici-Üniversite")*($AB$16)
+COUNTIF($A$1,"1S-Usta Gemici-MYO")*($AB$17)
+COUNTIF($A$1,"1S-Usta Gemici-Lise")*($AB$18)
+COUNTIF($A$1,"1S-Usta Gemici-Ortaokul")*($AB$19)
+COUNTIF($A$1,"1S-Usta Gemici-İlkokul")*($AB$20)
+COUNTIF($A$1,"1S-Yağcı-Üniversite")*($AB$21)
+COUNTIF($A$1,"1S-Yağcı-MYO")*($AB$22)
+COUNTIF($A$1,"1S-Yağcı-Lise")*($AB$23)
+COUNTIF($A$1,"1S-Yağcı-Ortaokul")*($AB$24)
+COUNTIF($A$1,"1S-Yağcı-İlkokul")*($AB$25)
+COUNTIF($A$1,"2S-Kaptan-Üniversite")*($AB$26)
+COUNTIF($A$1,"2S-Kaptan-MYO")*($AB$27)
+COUNTIF($A$1,"2S-Kaptan-Lise")*($AB$28)
+COUNTIF($A$1,"2S-Kaptan-Ortaokul")*($AB$29)
+COUNTIF($A$1,"2S-Kaptan-İlkokul")*($AB$30)
+COUNTIF($A$1,"2S-Baş Makinist-Üniversite")*($AB$31)
+COUNTIF($A$1,"2S-Baş Makinist-MYO")*($AB$32)
+COUNTIF($A$1,"2S-Baş Makinist-Lise")*($AB$33)
+COUNTIF($A$1,"2S-Baş Makinist-Ortaokul")*($AB$34)
+COUNTIF($A$1,"2S-Baş Makinist-İlkokul")*($AB$35)
+COUNTIF($A$1,"2S-İkinci Kaptan-Üniversite")*($AB$36)
+COUNTIF($A$1,"2S-İkinci Kaptan-MYO")*($AB$37)
+COUNTIF($A$1,"2S-İkinci Kaptan-Lise")*($AB$38)
+COUNTIF($A$1,"2S-İkinci Kaptan-Ortaokul")*($AB$39)
+COUNTIF($A$1,"2S-İkinci Kaptan-İlkokul")*($AB$40)
+COUNTIF($A$1,"2S-Usta Gemici-Üniversite")*($AB$41)
+COUNTIF($A$1,"2S-Usta Gemici-MYO")*($AB$42)
+COUNTIF($A$1,"2S-Usta Gemici-Lise")*($AB$43)
+COUNTIF($A$1,"2S-Usta Gemici-Ortaokul")*($AB$44)
+COUNTIF($A$1,"2S-Usta Gemici-İlkokul")*($AB$45)
+COUNTIF($A$1,"2S-Yağcı-Üniversite")*($AB$46)
+COUNTIF($A$1,"2S-Yağcı-MYO")*($AB$47)
+COUNTIF($A$1,"2S-Yağcı-Lise")*($AB$48)
+COUNTIF($A$1,"2S-Yağcı-Ortaokul")*($AB$49)
+COUNTIF($A$1,"2S-Yağcı-İlkokul")*($AB$50)
+COUNTIF($A$1,"2S-Gemici-Üniversite")*($AB$51)
+COUNTIF($A$1,"2S-Gemici-MYO")*($AB$52)
+COUNTIF($A$1,"2S-Gemici-Lise")*($AB$53)
+COUNTIF($A$1,"2S-Gemici-Ortaokul")*($AB$54)
+COUNTIF($A$1,"2S-Gemici-İlkokul")*($AB$55)
+COUNTIF($A$1,"2S-Gemi Salon Sorumlusu-Üniversite")*($AB$56)
+COUNTIF($A$1,"2S-Gemi Salon Sorumlusu-MYO")*($AB$57)
+COUNTIF($A$1,"2S-Gemi Salon Sorumlusu-Lise")*($AB$58)
+COUNTIF($A$1,"2S-Gemi Salon Sorumlusu-Ortaokul")*($AB$59)
+COUNTIF($A$1,"2S-Gemi Salon Sorumlusu-İlkokul")*($AB$60)</f>
        <v>268.5</v>
      </c>
      <c r="AQ14" s="36" t="s">
        <v>0</v>
      </c>
      <c r="AR14" s="37">
        <f>(AS14/CM13)</f>
        <v>9880.5807148538115</v>
      </c>
      <c r="AS14" s="38">
        <f>(AP14*AG14)</f>
        <v>8323.5</v>
      </c>
      <c r="AT14" s="38">
        <f t="shared" ref="AT14:AU14" si="75">(AT13/12)</f>
        <v>0</v>
      </c>
      <c r="AU14" s="38">
        <f t="shared" si="75"/>
        <v>0</v>
      </c>
      <c r="AV14" s="38">
        <f t="shared" ref="AV14:AW14" si="76">(AV13/12)</f>
        <v>2137.9633036961418</v>
      </c>
      <c r="AW14" s="38">
        <f t="shared" si="76"/>
        <v>1801.0416666666667</v>
      </c>
      <c r="AX14" s="38">
        <f t="shared" ref="AX14:AY14" si="77">(AX13/12)</f>
        <v>0</v>
      </c>
      <c r="AY14" s="38">
        <f t="shared" si="77"/>
        <v>0</v>
      </c>
      <c r="AZ14" s="38">
        <f ca="1">(AZ13/12)</f>
        <v>1047.2833098166668</v>
      </c>
      <c r="BA14" s="38">
        <f>(BA13/12)</f>
        <v>916.66666666666663</v>
      </c>
      <c r="BB14" s="38">
        <f t="shared" ref="BB14:BK14" si="78">(BB13/12)</f>
        <v>916.66666666666663</v>
      </c>
      <c r="BC14" s="38">
        <f t="shared" ca="1" si="78"/>
        <v>1047.2850000000001</v>
      </c>
      <c r="BD14" s="38">
        <f t="shared" ca="1" si="78"/>
        <v>-7.9488931500000009</v>
      </c>
      <c r="BE14" s="38">
        <f t="shared" si="78"/>
        <v>229.50000000000003</v>
      </c>
      <c r="BF14" s="38">
        <f t="shared" ca="1" si="78"/>
        <v>817.78499999999985</v>
      </c>
      <c r="BG14" s="38">
        <f t="shared" ca="1" si="78"/>
        <v>-114.48990000000002</v>
      </c>
      <c r="BH14" s="38">
        <f t="shared" ca="1" si="78"/>
        <v>-8.1778499999999976</v>
      </c>
      <c r="BI14" s="38">
        <f t="shared" si="78"/>
        <v>0</v>
      </c>
      <c r="BJ14" s="38">
        <f t="shared" ca="1" si="78"/>
        <v>924.6172499999999</v>
      </c>
      <c r="BK14" s="38">
        <f t="shared" si="78"/>
        <v>0</v>
      </c>
      <c r="BS14" s="38" t="s">
        <v>0</v>
      </c>
      <c r="BT14" s="38" t="s">
        <v>0</v>
      </c>
      <c r="BU14" s="38" t="s">
        <v>0</v>
      </c>
      <c r="BV14" s="38" t="s">
        <v>0</v>
      </c>
      <c r="BW14" s="45" t="s">
        <v>67</v>
      </c>
      <c r="BX14" s="39">
        <v>608.28</v>
      </c>
      <c r="BY14" s="38">
        <f>(0)</f>
        <v>0</v>
      </c>
      <c r="BZ14" s="38">
        <f>(BK24+BQ24+BR24-BY14)</f>
        <v>5500.3499999999995</v>
      </c>
      <c r="CA14" s="38">
        <f>SUM(BZ$7:$BZ14)</f>
        <v>36521.1</v>
      </c>
      <c r="CB14" s="49">
        <f t="shared" si="27"/>
        <v>0.2</v>
      </c>
      <c r="CC14" s="40">
        <f t="shared" si="36"/>
        <v>1</v>
      </c>
      <c r="CD14" s="38">
        <f>(BI7+AI10+BH2+BL2)</f>
        <v>286.85556914091711</v>
      </c>
      <c r="CE14" s="38">
        <f ca="1">(CW21+BU23+BV23-CD14)</f>
        <v>12668.731590362273</v>
      </c>
      <c r="CF14" s="38">
        <f ca="1">SUM($CE$8:CE14)</f>
        <v>102490.57848820134</v>
      </c>
      <c r="CG14" s="49">
        <f t="shared" ca="1" si="38"/>
        <v>0.27</v>
      </c>
      <c r="CH14" s="40">
        <f t="shared" ca="1" si="40"/>
        <v>0</v>
      </c>
      <c r="CI14" s="44">
        <f>(0)</f>
        <v>0</v>
      </c>
      <c r="CJ14" s="38">
        <f>(0)</f>
        <v>0</v>
      </c>
      <c r="CK14" s="38">
        <f>(0)</f>
        <v>0</v>
      </c>
      <c r="CL14" s="38">
        <f t="shared" si="59"/>
        <v>0</v>
      </c>
      <c r="CM14" s="44">
        <f t="shared" si="70"/>
        <v>0.84240999999999999</v>
      </c>
      <c r="CN14" s="44">
        <f t="shared" si="60"/>
        <v>0.84240999999999999</v>
      </c>
      <c r="CO14" s="44">
        <f t="shared" si="61"/>
        <v>0.99241000000000001</v>
      </c>
      <c r="CP14" s="38">
        <f t="shared" ca="1" si="62"/>
        <v>-112.05495868709502</v>
      </c>
      <c r="CQ14" s="38">
        <f>(AJ7+AX18+BM18+AV23)</f>
        <v>596.93000000000006</v>
      </c>
      <c r="CR14" s="38">
        <f t="shared" ca="1" si="63"/>
        <v>14166.569168260214</v>
      </c>
      <c r="CS14" s="38">
        <f ca="1">IF(CR14&gt;=CC4*7.5,CC4*7.5,CR14)</f>
        <v>14166.569168260214</v>
      </c>
      <c r="CT14" s="38" t="s">
        <v>0</v>
      </c>
      <c r="CU14" s="38">
        <f t="shared" ca="1" si="64"/>
        <v>14763.499168260214</v>
      </c>
      <c r="CV14" s="38">
        <f t="shared" ca="1" si="65"/>
        <v>3026.5173294933438</v>
      </c>
      <c r="CW14" s="38">
        <f t="shared" ca="1" si="66"/>
        <v>147.63499168260213</v>
      </c>
      <c r="CX14" s="38">
        <f t="shared" ca="1" si="67"/>
        <v>-738.1749584130107</v>
      </c>
      <c r="CY14" s="38">
        <f t="shared" ca="1" si="68"/>
        <v>17199.476531023149</v>
      </c>
      <c r="CZ14" s="38" t="s">
        <v>0</v>
      </c>
      <c r="DA14" s="38">
        <f ca="1">(CQ7)</f>
        <v>17436.669687796402</v>
      </c>
      <c r="DB14" s="38">
        <f ca="1">(DA14*0.205)</f>
        <v>3574.5172859982622</v>
      </c>
      <c r="DC14" s="38">
        <f ca="1">(DA14*0.01)</f>
        <v>174.36669687796402</v>
      </c>
      <c r="DD14" s="38">
        <f ca="1">(DA14*0.05*-1)</f>
        <v>-871.83348438982011</v>
      </c>
      <c r="DE14" s="38">
        <f ca="1">(DA14+DB14+DC14+DD14)</f>
        <v>20313.720186282811</v>
      </c>
      <c r="DF14" s="42">
        <v>12</v>
      </c>
      <c r="DG14" s="46">
        <v>6</v>
      </c>
      <c r="DH14" s="47">
        <v>0.14000000000000001</v>
      </c>
      <c r="DI14" s="55"/>
    </row>
    <row r="15" spans="1:113" ht="39.950000000000003" customHeight="1" x14ac:dyDescent="0.25">
      <c r="A15" s="5">
        <f t="shared" ref="A15:A26" si="79">(CI8)</f>
        <v>0</v>
      </c>
      <c r="B15" s="6" t="s">
        <v>13</v>
      </c>
      <c r="C15" s="14">
        <v>0</v>
      </c>
      <c r="D15" s="15">
        <v>40</v>
      </c>
      <c r="E15" s="15">
        <v>0</v>
      </c>
      <c r="F15" s="14">
        <v>20</v>
      </c>
      <c r="G15" s="14">
        <v>0</v>
      </c>
      <c r="H15" s="16" t="s">
        <v>1</v>
      </c>
      <c r="I15" s="16" t="s">
        <v>1</v>
      </c>
      <c r="J15" s="16" t="s">
        <v>1</v>
      </c>
      <c r="K15" s="17">
        <v>0</v>
      </c>
      <c r="L15" s="7">
        <f ca="1">(CR1-BM15+AY20+BY1+CP11+BU17+BV17+CL11-M15)</f>
        <v>9279.9430410371533</v>
      </c>
      <c r="M15" s="7">
        <f ca="1">(AW1+AY1+AF4+BZ1)</f>
        <v>2445.25</v>
      </c>
      <c r="N15" s="8">
        <f ca="1">(L15+M15)</f>
        <v>11725.193041037153</v>
      </c>
      <c r="O15" s="18" t="s">
        <v>35</v>
      </c>
      <c r="P15" s="19">
        <f t="shared" ca="1" si="69"/>
        <v>1731.3519260948324</v>
      </c>
      <c r="Q15" s="20">
        <f ca="1">COUNTIF(R1,"Ocak")*(CP11)*-1
+COUNTIF(R1,"Şubat")*(CP12)*-1
+COUNTIF(R1,"Mart")*(CP13)*-1
+COUNTIF(R1,"Nisan")*(CP14)*-1
+COUNTIF(R1,"Mayıs")*(CP15)*-1
+COUNTIF(R1,"Haziran")*(CP16)*-1
+COUNTIF(R1,"Temmuz")*(CP17)*-1
+COUNTIF(R1,"Ağustos")*(CP18)*-1
+COUNTIF(R1,"Eylül")*(CP19)*-1
+COUNTIF(R1,"Ekim")*(CP20)*-1
+COUNTIF(R1,"Kasım")*(CW7)*-1
+COUNTIF(R1,"Aralık")*(CW8)*-1
+COUNTIF(R1,"Yıllık Toplam")*(CW9)*-1
+COUNTIF(R1,"Yıllık Ortalama")*(CW10)*-1</f>
        <v>1731.3519260948324</v>
      </c>
      <c r="R15" s="72"/>
      <c r="S15" s="71"/>
      <c r="T15" s="21" t="s">
        <v>0</v>
      </c>
      <c r="U15" s="26" t="s">
        <v>0</v>
      </c>
      <c r="V15" s="60"/>
      <c r="W15" s="61"/>
      <c r="X15" s="63"/>
      <c r="Y15" s="62"/>
      <c r="Z15" s="30"/>
      <c r="AA15" s="45" t="s">
        <v>103</v>
      </c>
      <c r="AB15" s="33">
        <v>276.93</v>
      </c>
      <c r="AC15" s="33">
        <v>276.93</v>
      </c>
      <c r="AD15" s="33">
        <v>276.93</v>
      </c>
      <c r="AE15" s="38">
        <f>(AF15/CM19)</f>
        <v>714.61639819090465</v>
      </c>
      <c r="AF15" s="38">
        <f>(602/30*AT23)</f>
        <v>602</v>
      </c>
      <c r="AG15" s="38">
        <f>(0)</f>
        <v>0</v>
      </c>
      <c r="AH15" s="38">
        <f>(0)</f>
        <v>0</v>
      </c>
      <c r="AI15" s="38">
        <f>(0)</f>
        <v>0</v>
      </c>
      <c r="AJ15" s="50">
        <v>30</v>
      </c>
      <c r="AK15" s="38">
        <f>(AL15/CM19)</f>
        <v>9867.5229401360375</v>
      </c>
      <c r="AL15" s="38">
        <f>(AP22*20+AP23*10)</f>
        <v>8312.5</v>
      </c>
      <c r="AM15" s="50">
        <v>30</v>
      </c>
      <c r="AN15" s="38">
        <f>(AO15/CM19)</f>
        <v>672.24985458387243</v>
      </c>
      <c r="AO15" s="38">
        <f>(566.31/30*AM15)</f>
        <v>566.30999999999995</v>
      </c>
      <c r="AP15" s="50">
        <v>30</v>
      </c>
      <c r="AQ15" s="38">
        <f>(AZ2/CM19)</f>
        <v>1810.2824040550327</v>
      </c>
      <c r="AT15" s="50">
        <v>30</v>
      </c>
      <c r="AU15" s="38">
        <f>(AV15/CM11)</f>
        <v>510.44028442207474</v>
      </c>
      <c r="AV15" s="38">
        <f>(430/30*AT15)</f>
        <v>430</v>
      </c>
      <c r="AW15" s="38">
        <f>(0)</f>
        <v>0</v>
      </c>
      <c r="AX15" s="38">
        <f>(0)</f>
        <v>0</v>
      </c>
      <c r="AY15" s="38">
        <f>(0)</f>
        <v>0</v>
      </c>
      <c r="AZ15" s="50">
        <v>0</v>
      </c>
      <c r="BA15" s="38">
        <f>(BB15/CM11)</f>
        <v>0</v>
      </c>
      <c r="BB15" s="38">
        <f>(AP12*AZ15)</f>
        <v>0</v>
      </c>
      <c r="BC15" s="50">
        <v>30</v>
      </c>
      <c r="BD15" s="38">
        <f>(BE15/CM11)</f>
        <v>672.24985458387243</v>
      </c>
      <c r="BE15" s="38">
        <f>(566.31/30*BC15)</f>
        <v>566.30999999999995</v>
      </c>
      <c r="BF15" s="50">
        <v>30</v>
      </c>
      <c r="BG15" s="38">
        <f>(BH15/CM11)</f>
        <v>296.76760722213652</v>
      </c>
      <c r="BH15" s="38">
        <f>COUNTIF($A$1,"1S-Kaptan-Üniversite")*(250/30*BF15)
+COUNTIF($A$1,"1S-Kaptan-MYO")*(250/30*BF15)
+COUNTIF($A$1,"1S-Kaptan-Lise")*(250/30*BF15)
+COUNTIF($A$1,"1S-Kaptan-Ortaokul")*(250/30*BF15)
+COUNTIF($A$1,"1S-Kaptan-İlkokul")*(250/30*BF15)
+COUNTIF($A$1,"1S-Baş Makinist-Üniversite")*(250/30*BF15)
+COUNTIF($A$1,"1S-Baş Makinist-MYO")*(250/30*BF15)
+COUNTIF($A$1,"1S-Baş Makinist-Lise")*(250/30*BF15)
+COUNTIF($A$1,"1S-Baş Makinist-Ortaokul")*(250/30*BF15)
+COUNTIF($A$1,"1S-Baş Makinist-İlkokul")*(250/30*BF15)
+COUNTIF($A$1,"1S-İkinci Kaptan-Üniversite")*(250/30*BF15)
+COUNTIF($A$1,"1S-İkinci Kaptan-MYO")*(250/30*BF15)
+COUNTIF($A$1,"1S-İkinci Kaptan-Lise")*(250/30*BF15)
+COUNTIF($A$1,"1S-İkinci Kaptan-Ortaokul")*(250/30*BF15)
+COUNTIF($A$1,"1S-İkinci Kaptan-İlkokul")*(250/30*BF15)
+COUNTIF($A$1,"2S-Kaptan-Üniversite")*(250/30*BF15)
+COUNTIF($A$1,"2S-Kaptan-MYO")*(250/30*BF15)
+COUNTIF($A$1,"2S-Kaptan-Lise")*(250/30*BF15)
+COUNTIF($A$1,"2S-Kaptan-Ortaokul")*(250/30*BF15)
+COUNTIF($A$1,"2S-Kaptan-İlkokul")*(250/30*BF15)
+COUNTIF($A$1,"2S-Baş Makinist-Üniversite")*(250/30*BF15)
+COUNTIF($A$1,"2S-Baş Makinist-MYO")*(250/30*BF15)
+COUNTIF($A$1,"2S-Baş Makinist-Lise")*(250/30*BF15)
+COUNTIF($A$1,"2S-Baş Makinist-Ortaokul")*(250/30*BF15)
+COUNTIF($A$1,"2S-Baş Makinist-İlkokul")*(250/30*BF15)
+COUNTIF($A$1,"2S-İkinci Kaptan-Üniversite")*(250/30*BF15)
+COUNTIF($A$1,"2S-İkinci Kaptan-MYO")*(250/30*BF15)
+COUNTIF($A$1,"2S-İkinci Kaptan-Lise")*(250/30*BF15)
+COUNTIF($A$1,"2S-İkinci Kaptan-Ortaokul")*(250/30*BF15)
+COUNTIF($A$1,"2S-İkinci Kaptan-İlkokul")*(250/30*BF15)</f>
        <v>250.00000000000003</v>
      </c>
      <c r="BJ15" s="38">
        <f t="shared" ref="BJ15:BJ21" si="80">(BK15/CM11)</f>
        <v>0</v>
      </c>
      <c r="BK15" s="38">
        <f t="shared" ref="BK15:BK21" si="81">(18.71*G15)</f>
        <v>0</v>
      </c>
      <c r="BL15" s="36" t="s">
        <v>0</v>
      </c>
      <c r="BM15" s="38">
        <f>COUNTIF($A$1,"1S-Kaptan-Üniversite")*(396.73)
+COUNTIF($A$1,"1S-Kaptan-MYO")*(396.73)
+COUNTIF($A$1,"1S-Kaptan-Lise")*(396.73)
+COUNTIF($A$1,"1S-Kaptan-Ortaokul")*(396.73)
+COUNTIF($A$1,"1S-Kaptan-İlkokul")*(396.73)
+COUNTIF($A$1,"1S-Baş Makinist-Üniversite")*(396.73)
+COUNTIF($A$1,"1S-Baş Makinist-MYO")*(396.73)
+COUNTIF($A$1,"1S-Baş Makinist-Lise")*(396.73)
+COUNTIF($A$1,"1S-Baş Makinist-Ortaokul")*(396.73)
+COUNTIF($A$1,"1S-Baş Makinist-İlkokul")*(396.73)
+COUNTIF($A$1,"1S-İkinci Kaptan-Üniversite")*(396.73)
+COUNTIF($A$1,"1S-İkinci Kaptan-MYO")*(396.73)
+COUNTIF($A$1,"1S-İkinci Kaptan-Lise")*(396.73)
+COUNTIF($A$1,"1S-İkinci Kaptan-Ortaokul")*(396.73)
+COUNTIF($A$1,"1S-İkinci Kaptan-İlkokul")*(396.73)
+COUNTIF($A$1,"2S-Kaptan-Üniversite")*(396.73)
+COUNTIF($A$1,"2S-Kaptan-MYO")*(396.73)
+COUNTIF($A$1,"2S-Kaptan-Lise")*(396.73)
+COUNTIF($A$1,"2S-Kaptan-Ortaokul")*(396.73)
+COUNTIF($A$1,"2S-Kaptan-İlkokul")*(396.73)
+COUNTIF($A$1,"2S-Baş Makinist-Üniversite")*(396.73)
+COUNTIF($A$1,"2S-Baş Makinist-MYO")*(396.73)
+COUNTIF($A$1,"2S-Baş Makinist-Lise")*(396.73)
+COUNTIF($A$1,"2S-Baş Makinist-Ortaokul")*(396.73)
+COUNTIF($A$1,"2S-Baş Makinist-İlkokul")*(396.73)
+COUNTIF($A$1,"2S-İkinci Kaptan-Üniversite")*(396.73)
+COUNTIF($A$1,"2S-İkinci Kaptan-MYO")*(396.73)
+COUNTIF($A$1,"2S-İkinci Kaptan-Lise")*(396.73)
+COUNTIF($A$1,"2S-İkinci Kaptan-Ortaokul")*(396.73)
+COUNTIF($A$1,"2S-İkinci Kaptan-İlkokul")*(396.73)</f>
        <v>396.73</v>
      </c>
      <c r="BN15" s="38">
        <f>(BM15-BM15*0.00759)</f>
        <v>393.71881930000001</v>
      </c>
      <c r="BO15" s="38">
        <f>(BM15)</f>
        <v>396.73</v>
      </c>
      <c r="BS15" s="36" t="s">
        <v>0</v>
      </c>
      <c r="BT15" s="36" t="s">
        <v>0</v>
      </c>
      <c r="BU15" s="36" t="s">
        <v>0</v>
      </c>
      <c r="BV15" s="36" t="s">
        <v>0</v>
      </c>
      <c r="BW15" s="45" t="s">
        <v>68</v>
      </c>
      <c r="BX15" s="39">
        <v>733.47</v>
      </c>
      <c r="BY15" s="38">
        <f>(0)</f>
        <v>0</v>
      </c>
      <c r="BZ15" s="38">
        <f>(BK25+BQ25+BR25-BY15)</f>
        <v>5500.3499999999995</v>
      </c>
      <c r="CA15" s="38">
        <f>SUM(BZ$7:$BZ15)</f>
        <v>42021.45</v>
      </c>
      <c r="CB15" s="49">
        <f t="shared" si="27"/>
        <v>0.2</v>
      </c>
      <c r="CC15" s="40">
        <f t="shared" si="36"/>
        <v>0</v>
      </c>
      <c r="CD15" s="38">
        <f>(BI8+AI11+BH3+BL3)</f>
        <v>286.85556914091711</v>
      </c>
      <c r="CE15" s="38">
        <f ca="1">(CW22+BU24+BV24-CD15)</f>
        <v>12668.731590362273</v>
      </c>
      <c r="CF15" s="38">
        <f ca="1">SUM($CE$8:CE15)</f>
        <v>115159.31007856361</v>
      </c>
      <c r="CG15" s="49">
        <f t="shared" ca="1" si="38"/>
        <v>0.27</v>
      </c>
      <c r="CH15" s="40">
        <f t="shared" ca="1" si="40"/>
        <v>0</v>
      </c>
      <c r="CI15" s="44">
        <f>(0)</f>
        <v>0</v>
      </c>
      <c r="CJ15" s="38">
        <f>(0)</f>
        <v>0</v>
      </c>
      <c r="CK15" s="38">
        <f>(0)</f>
        <v>0</v>
      </c>
      <c r="CL15" s="38">
        <f t="shared" si="59"/>
        <v>0</v>
      </c>
      <c r="CM15" s="44">
        <f t="shared" si="70"/>
        <v>0.84240999999999999</v>
      </c>
      <c r="CN15" s="44">
        <f t="shared" si="60"/>
        <v>0.84240999999999999</v>
      </c>
      <c r="CO15" s="44">
        <f t="shared" si="61"/>
        <v>0.99241000000000001</v>
      </c>
      <c r="CP15" s="38">
        <f t="shared" ca="1" si="62"/>
        <v>-114.88693931410562</v>
      </c>
      <c r="CQ15" s="38">
        <f>(AJ8+AX19+BM19+AV24)</f>
        <v>596.93000000000006</v>
      </c>
      <c r="CR15" s="38">
        <f t="shared" ca="1" si="63"/>
        <v>14539.689145468459</v>
      </c>
      <c r="CS15" s="38">
        <f ca="1">IF(CR15&gt;=CC5*7.5,CC5*7.5,CR15)</f>
        <v>14539.689145468459</v>
      </c>
      <c r="CT15" s="38" t="s">
        <v>0</v>
      </c>
      <c r="CU15" s="38">
        <f t="shared" ca="1" si="64"/>
        <v>15136.619145468459</v>
      </c>
      <c r="CV15" s="38">
        <f t="shared" ca="1" si="65"/>
        <v>3103.0069248210339</v>
      </c>
      <c r="CW15" s="38">
        <f t="shared" ca="1" si="66"/>
        <v>151.36619145468461</v>
      </c>
      <c r="CX15" s="38">
        <f t="shared" ca="1" si="67"/>
        <v>-756.830957273423</v>
      </c>
      <c r="CY15" s="38">
        <f t="shared" ca="1" si="68"/>
        <v>17634.161304470756</v>
      </c>
      <c r="CZ15" s="38" t="s">
        <v>0</v>
      </c>
      <c r="DA15" s="38">
        <f ca="1">(CQ8)</f>
        <v>28264.829372510496</v>
      </c>
      <c r="DB15" s="38">
        <f ca="1">(DA15*0.205)</f>
        <v>5794.2900213646517</v>
      </c>
      <c r="DC15" s="38">
        <f ca="1">(DA15*0.01)</f>
        <v>282.64829372510496</v>
      </c>
      <c r="DD15" s="38">
        <f ca="1">(DA15*0.05*-1)</f>
        <v>-1413.2414686255249</v>
      </c>
      <c r="DE15" s="38">
        <f ca="1">(DA15+DB15+DC15+DD15)</f>
        <v>32928.52621897473</v>
      </c>
      <c r="DF15" s="42">
        <v>13</v>
      </c>
      <c r="DG15" s="46">
        <v>6.5</v>
      </c>
      <c r="DH15" s="47">
        <v>0.15</v>
      </c>
      <c r="DI15" s="55"/>
    </row>
    <row r="16" spans="1:113" ht="39.950000000000003" customHeight="1" x14ac:dyDescent="0.25">
      <c r="A16" s="5">
        <f t="shared" si="79"/>
        <v>0</v>
      </c>
      <c r="B16" s="6" t="s">
        <v>14</v>
      </c>
      <c r="C16" s="14">
        <v>0</v>
      </c>
      <c r="D16" s="15">
        <v>40</v>
      </c>
      <c r="E16" s="15">
        <v>0</v>
      </c>
      <c r="F16" s="14">
        <v>20</v>
      </c>
      <c r="G16" s="14">
        <v>0</v>
      </c>
      <c r="H16" s="16" t="s">
        <v>1</v>
      </c>
      <c r="I16" s="16" t="s">
        <v>1</v>
      </c>
      <c r="J16" s="16" t="s">
        <v>1</v>
      </c>
      <c r="K16" s="17">
        <v>0</v>
      </c>
      <c r="L16" s="7">
        <f ca="1">(CR2-BM16+AY21+BY2+CP12+BU18+BV18+CL12-M16)</f>
        <v>8474.4430410371533</v>
      </c>
      <c r="M16" s="7">
        <f ca="1">(AW2+AY2+AF5+BZ2)</f>
        <v>2445.25</v>
      </c>
      <c r="N16" s="8">
        <f t="shared" ref="N16:N26" ca="1" si="82">(L16+M16)</f>
        <v>10919.693041037153</v>
      </c>
      <c r="O16" s="18" t="s">
        <v>7</v>
      </c>
      <c r="P16" s="19">
        <f t="shared" ca="1" si="69"/>
        <v>30883.278745359228</v>
      </c>
      <c r="Q16" s="20">
        <f ca="1">COUNTIF(R1,"Ocak")*(BU17)*-1
+COUNTIF(R1,"Şubat")*(BU18)*-1
+COUNTIF(R1,"Mart")*(BU19)*-1
+COUNTIF(R1,"Nisan")*(BU20)*-1
+COUNTIF(R1,"Mayıs")*(BU21)*-1
+COUNTIF(R1,"Haziran")*(BU22)*-1
+COUNTIF(R1,"Temmuz")*(BU23)*-1
+COUNTIF(R1,"Ağustos")*(BU24)*-1
+COUNTIF(R1,"Eylül")*(BU25)*-1
+COUNTIF(R1,"Ekim")*(BU26)*-1
+COUNTIF(R1,"Kasım")*(DA7)*-1
+COUNTIF(R1,"Aralık")*(DA8)*-1
+COUNTIF(R1,"Yıllık Toplam")*(DA9)*-1
+COUNTIF(R1,"Yıllık Ortalama")*(DA10)*-1</f>
        <v>30883.278745359228</v>
      </c>
      <c r="R16" s="72"/>
      <c r="S16" s="71"/>
      <c r="T16" s="21" t="s">
        <v>0</v>
      </c>
      <c r="U16" s="26" t="s">
        <v>0</v>
      </c>
      <c r="V16" s="60"/>
      <c r="W16" s="61"/>
      <c r="X16" s="63"/>
      <c r="Y16" s="62"/>
      <c r="Z16" s="30"/>
      <c r="AA16" s="45" t="s">
        <v>104</v>
      </c>
      <c r="AB16" s="33">
        <v>206</v>
      </c>
      <c r="AC16" s="33">
        <v>209.07</v>
      </c>
      <c r="AD16" s="33">
        <v>209.07</v>
      </c>
      <c r="AE16" s="38">
        <f>(AF16/CM20)</f>
        <v>714.61639819090465</v>
      </c>
      <c r="AF16" s="38">
        <f>(602/30*AT24)</f>
        <v>602</v>
      </c>
      <c r="AG16" s="38">
        <f>(0)</f>
        <v>0</v>
      </c>
      <c r="AH16" s="38">
        <f>(0)</f>
        <v>0</v>
      </c>
      <c r="AI16" s="38">
        <f>(0)</f>
        <v>0</v>
      </c>
      <c r="AJ16" s="50">
        <v>0</v>
      </c>
      <c r="AK16" s="38">
        <f>(AL16/CM20)</f>
        <v>0</v>
      </c>
      <c r="AL16" s="38">
        <f>(AP24*AJ16)</f>
        <v>0</v>
      </c>
      <c r="AM16" s="50">
        <v>30</v>
      </c>
      <c r="AN16" s="38">
        <f>(AO16/CM20)</f>
        <v>672.24985458387243</v>
      </c>
      <c r="AO16" s="38">
        <f>(566.31/30*AM16)</f>
        <v>566.30999999999995</v>
      </c>
      <c r="AP16" s="50">
        <v>30</v>
      </c>
      <c r="AQ16" s="38">
        <f>(AZ3/CM20)</f>
        <v>1810.2824040550327</v>
      </c>
      <c r="AT16" s="50">
        <v>30</v>
      </c>
      <c r="AU16" s="38">
        <f>(AV16/CM12)</f>
        <v>510.44028442207474</v>
      </c>
      <c r="AV16" s="38">
        <f t="shared" ref="AV16:AV17" si="83">(430/30*AT16)</f>
        <v>430</v>
      </c>
      <c r="AW16" s="38">
        <f>(0)</f>
        <v>0</v>
      </c>
      <c r="AX16" s="38">
        <f>(0)</f>
        <v>0</v>
      </c>
      <c r="AY16" s="38">
        <f>(0)</f>
        <v>0</v>
      </c>
      <c r="AZ16" s="50">
        <v>0</v>
      </c>
      <c r="BA16" s="38">
        <f>(BB16/CM12)</f>
        <v>0</v>
      </c>
      <c r="BB16" s="38">
        <f>(AP13*AZ16)</f>
        <v>0</v>
      </c>
      <c r="BC16" s="50">
        <v>30</v>
      </c>
      <c r="BD16" s="38">
        <f>(BE16/CM12)</f>
        <v>672.24985458387243</v>
      </c>
      <c r="BE16" s="38">
        <f t="shared" ref="BE16:BE19" si="84">(566.31/30*BC16)</f>
        <v>566.30999999999995</v>
      </c>
      <c r="BF16" s="50">
        <v>30</v>
      </c>
      <c r="BG16" s="38">
        <f>(BH16/CM12)</f>
        <v>296.76760722213652</v>
      </c>
      <c r="BH16" s="38">
        <f t="shared" ref="BH16:BH19" si="85">COUNTIF($A$1,"1S-Kaptan-Üniversite")*(250/30*BF16)
+COUNTIF($A$1,"1S-Kaptan-MYO")*(250/30*BF16)
+COUNTIF($A$1,"1S-Kaptan-Lise")*(250/30*BF16)
+COUNTIF($A$1,"1S-Kaptan-Ortaokul")*(250/30*BF16)
+COUNTIF($A$1,"1S-Kaptan-İlkokul")*(250/30*BF16)
+COUNTIF($A$1,"1S-Baş Makinist-Üniversite")*(250/30*BF16)
+COUNTIF($A$1,"1S-Baş Makinist-MYO")*(250/30*BF16)
+COUNTIF($A$1,"1S-Baş Makinist-Lise")*(250/30*BF16)
+COUNTIF($A$1,"1S-Baş Makinist-Ortaokul")*(250/30*BF16)
+COUNTIF($A$1,"1S-Baş Makinist-İlkokul")*(250/30*BF16)
+COUNTIF($A$1,"1S-İkinci Kaptan-Üniversite")*(250/30*BF16)
+COUNTIF($A$1,"1S-İkinci Kaptan-MYO")*(250/30*BF16)
+COUNTIF($A$1,"1S-İkinci Kaptan-Lise")*(250/30*BF16)
+COUNTIF($A$1,"1S-İkinci Kaptan-Ortaokul")*(250/30*BF16)
+COUNTIF($A$1,"1S-İkinci Kaptan-İlkokul")*(250/30*BF16)
+COUNTIF($A$1,"2S-Kaptan-Üniversite")*(250/30*BF16)
+COUNTIF($A$1,"2S-Kaptan-MYO")*(250/30*BF16)
+COUNTIF($A$1,"2S-Kaptan-Lise")*(250/30*BF16)
+COUNTIF($A$1,"2S-Kaptan-Ortaokul")*(250/30*BF16)
+COUNTIF($A$1,"2S-Kaptan-İlkokul")*(250/30*BF16)
+COUNTIF($A$1,"2S-Baş Makinist-Üniversite")*(250/30*BF16)
+COUNTIF($A$1,"2S-Baş Makinist-MYO")*(250/30*BF16)
+COUNTIF($A$1,"2S-Baş Makinist-Lise")*(250/30*BF16)
+COUNTIF($A$1,"2S-Baş Makinist-Ortaokul")*(250/30*BF16)
+COUNTIF($A$1,"2S-Baş Makinist-İlkokul")*(250/30*BF16)
+COUNTIF($A$1,"2S-İkinci Kaptan-Üniversite")*(250/30*BF16)
+COUNTIF($A$1,"2S-İkinci Kaptan-MYO")*(250/30*BF16)
+COUNTIF($A$1,"2S-İkinci Kaptan-Lise")*(250/30*BF16)
+COUNTIF($A$1,"2S-İkinci Kaptan-Ortaokul")*(250/30*BF16)
+COUNTIF($A$1,"2S-İkinci Kaptan-İlkokul")*(250/30*BF16)</f>
        <v>250.00000000000003</v>
      </c>
      <c r="BJ16" s="38">
        <f t="shared" si="80"/>
        <v>0</v>
      </c>
      <c r="BK16" s="38">
        <f t="shared" si="81"/>
        <v>0</v>
      </c>
      <c r="BL16" s="36" t="s">
        <v>0</v>
      </c>
      <c r="BM16" s="38">
        <f t="shared" si="5"/>
        <v>396.73</v>
      </c>
      <c r="BN16" s="38">
        <f t="shared" ref="BN16:BN21" si="86">(BM16-BM16*0.00759)</f>
        <v>393.71881930000001</v>
      </c>
      <c r="BO16" s="38">
        <f t="shared" ref="BO16:BO21" si="87">(BM16)</f>
        <v>396.73</v>
      </c>
      <c r="BS16" s="36" t="s">
        <v>0</v>
      </c>
      <c r="BT16" s="36" t="s">
        <v>0</v>
      </c>
      <c r="BU16" s="36" t="s">
        <v>0</v>
      </c>
      <c r="BV16" s="36" t="s">
        <v>0</v>
      </c>
      <c r="BW16" s="45" t="s">
        <v>11</v>
      </c>
      <c r="BX16" s="39">
        <v>692.14</v>
      </c>
      <c r="BY16" s="38">
        <f>(0)</f>
        <v>0</v>
      </c>
      <c r="BZ16" s="38">
        <f>(AY25+BE25+BF25-BY16)</f>
        <v>5500.3499999999995</v>
      </c>
      <c r="CA16" s="38">
        <f>SUM(BZ$7:$BZ16)</f>
        <v>47521.799999999996</v>
      </c>
      <c r="CB16" s="49">
        <f t="shared" si="27"/>
        <v>0.2</v>
      </c>
      <c r="CC16" s="40">
        <f t="shared" si="36"/>
        <v>0</v>
      </c>
      <c r="CD16" s="38">
        <f>(BI9+AI15+BH4+BL4)</f>
        <v>314.3659263304092</v>
      </c>
      <c r="CE16" s="38">
        <f ca="1">(CW23+BU25+BV25-CD16)</f>
        <v>22992.527307412161</v>
      </c>
      <c r="CF16" s="38">
        <f ca="1">SUM($CE$8:CE16)</f>
        <v>138151.83738597576</v>
      </c>
      <c r="CG16" s="49">
        <f t="shared" ca="1" si="38"/>
        <v>0.27</v>
      </c>
      <c r="CH16" s="40">
        <f t="shared" ca="1" si="40"/>
        <v>0</v>
      </c>
      <c r="CI16" s="44">
        <f>(0)</f>
        <v>0</v>
      </c>
      <c r="CJ16" s="38">
        <f>(0)</f>
        <v>0</v>
      </c>
      <c r="CK16" s="38">
        <f>(0)</f>
        <v>0</v>
      </c>
      <c r="CL16" s="38">
        <f t="shared" si="59"/>
        <v>0</v>
      </c>
      <c r="CM16" s="44">
        <f t="shared" si="70"/>
        <v>0.84240999999999999</v>
      </c>
      <c r="CN16" s="44">
        <f t="shared" si="60"/>
        <v>0.84240999999999999</v>
      </c>
      <c r="CO16" s="44">
        <f t="shared" si="61"/>
        <v>0.99241000000000001</v>
      </c>
      <c r="CP16" s="38">
        <f t="shared" ca="1" si="62"/>
        <v>-185.04224967366926</v>
      </c>
      <c r="CQ16" s="38">
        <f>(BE6+AH9+BM20+BH1)</f>
        <v>596.93000000000006</v>
      </c>
      <c r="CR16" s="38">
        <f t="shared" ca="1" si="63"/>
        <v>23782.813040009125</v>
      </c>
      <c r="CS16" s="38">
        <f ca="1">IF(CR16&gt;=BK22*7.5,BK22*7.5,CR16)</f>
        <v>23782.813040009125</v>
      </c>
      <c r="CT16" s="38" t="s">
        <v>0</v>
      </c>
      <c r="CU16" s="38">
        <f t="shared" ca="1" si="64"/>
        <v>24379.743040009125</v>
      </c>
      <c r="CV16" s="38">
        <f t="shared" ca="1" si="65"/>
        <v>4997.8473232018705</v>
      </c>
      <c r="CW16" s="38">
        <f t="shared" ca="1" si="66"/>
        <v>243.79743040009126</v>
      </c>
      <c r="CX16" s="38">
        <f t="shared" ca="1" si="67"/>
        <v>-1218.9871520004563</v>
      </c>
      <c r="CY16" s="38">
        <f t="shared" ca="1" si="68"/>
        <v>28402.400641610631</v>
      </c>
      <c r="CZ16" s="39" t="s">
        <v>0</v>
      </c>
      <c r="DA16" s="38">
        <f ca="1">(CU11+CU12+CU13+CU14+CU15+CU16+CU17+DA11+DA12+DA13+DA14+DA15)</f>
        <v>228109.60818113733</v>
      </c>
      <c r="DB16" s="38">
        <f ca="1">(CV11+CV12+CV13+CV14+CV15+CV16+CV17+DB11+DB12+DB13+DB14+DB15)</f>
        <v>46762.469677133144</v>
      </c>
      <c r="DC16" s="38">
        <f ca="1">(CW11+CW12+CW13+CW14+CW15+CW16+CW17+DC11+DC12+DC13+DC14+DC15)</f>
        <v>2281.0960818113736</v>
      </c>
      <c r="DD16" s="38">
        <f ca="1">(CX11+CX12+CX13+CX14+CX15+CX16+CX17+DD11+DD12+DD13+DD14+DD15)</f>
        <v>-11405.480409056865</v>
      </c>
      <c r="DE16" s="38">
        <f ca="1">(CY11+CY12+CY13+CY14+CY15+CY16+CY17+DE11+DE12+DE13+DE14+DE15)</f>
        <v>265747.69353102497</v>
      </c>
      <c r="DF16" s="42">
        <v>14</v>
      </c>
      <c r="DG16" s="46">
        <v>7</v>
      </c>
      <c r="DH16" s="47">
        <v>0.16</v>
      </c>
      <c r="DI16" s="55"/>
    </row>
    <row r="17" spans="1:113" ht="39.950000000000003" customHeight="1" x14ac:dyDescent="0.25">
      <c r="A17" s="5">
        <f t="shared" si="79"/>
        <v>0</v>
      </c>
      <c r="B17" s="6" t="s">
        <v>15</v>
      </c>
      <c r="C17" s="14">
        <v>0</v>
      </c>
      <c r="D17" s="15">
        <v>40</v>
      </c>
      <c r="E17" s="15">
        <v>0</v>
      </c>
      <c r="F17" s="14">
        <v>20</v>
      </c>
      <c r="G17" s="14">
        <v>0</v>
      </c>
      <c r="H17" s="16" t="s">
        <v>1</v>
      </c>
      <c r="I17" s="16" t="s">
        <v>1</v>
      </c>
      <c r="J17" s="16" t="s">
        <v>1</v>
      </c>
      <c r="K17" s="17">
        <v>0</v>
      </c>
      <c r="L17" s="7">
        <f ca="1">(CR3-BM17+AY22+BY3+CP13+BU19+BV19+CL13-M17)</f>
        <v>17334.943265193171</v>
      </c>
      <c r="M17" s="7">
        <f ca="1">(AW3+AY3+AF6+BZ3)</f>
        <v>2705.25</v>
      </c>
      <c r="N17" s="8">
        <f t="shared" ca="1" si="82"/>
        <v>20040.193265193171</v>
      </c>
      <c r="O17" s="18" t="s">
        <v>8</v>
      </c>
      <c r="P17" s="19">
        <f t="shared" ca="1" si="69"/>
        <v>2205.9484818113733</v>
      </c>
      <c r="Q17" s="20">
        <f ca="1">COUNTIF(R1,"Ocak")*(BV17)*-1
+COUNTIF(R1,"Şubat")*(BV18)*-1
+COUNTIF(R1,"Mart")*(BV19)*-1
+COUNTIF(R1,"Nisan")*(BV20)*-1
+COUNTIF(R1,"Mayıs")*(BV21)*-1
+COUNTIF(R1,"Haziran")*(BV22)*-1
+COUNTIF(R1,"Temmuz")*(BV23)*-1
+COUNTIF(R1,"Ağustos")*(BV24)*-1
+COUNTIF(R1,"Eylül")*(BV25)*-1
+COUNTIF(R1,"Ekim")*(BV26)*-1
+COUNTIF(R1,"Kasım")*(DB7)*-1
+COUNTIF(R1,"Aralık")*(DB8)*-1
+COUNTIF(R1,"Yıllık Toplam")*(DB9)*-1
+COUNTIF(R1,"Yıllık Ortalama")*(DB10)*-1</f>
        <v>2205.9484818113733</v>
      </c>
      <c r="R17" s="72"/>
      <c r="S17" s="71"/>
      <c r="T17" s="21" t="s">
        <v>0</v>
      </c>
      <c r="U17" s="26" t="s">
        <v>0</v>
      </c>
      <c r="V17" s="60"/>
      <c r="W17" s="61"/>
      <c r="X17" s="63"/>
      <c r="Y17" s="62"/>
      <c r="Z17" s="30"/>
      <c r="AA17" s="52" t="s">
        <v>105</v>
      </c>
      <c r="AB17" s="38">
        <v>203</v>
      </c>
      <c r="AC17" s="38">
        <v>208.57</v>
      </c>
      <c r="AD17" s="38">
        <v>208.57</v>
      </c>
      <c r="AE17" s="38">
        <f>(AF17/CM21)</f>
        <v>714.61639819090465</v>
      </c>
      <c r="AF17" s="38">
        <f>(602/30*AT25)</f>
        <v>602</v>
      </c>
      <c r="AG17" s="38">
        <f>(0)</f>
        <v>0</v>
      </c>
      <c r="AH17" s="38">
        <f>(0)</f>
        <v>0</v>
      </c>
      <c r="AI17" s="38">
        <f>(0)</f>
        <v>0</v>
      </c>
      <c r="AJ17" s="50">
        <v>0</v>
      </c>
      <c r="AK17" s="38">
        <f>(AL17/CM21)</f>
        <v>0</v>
      </c>
      <c r="AL17" s="38">
        <f>(AP25*AJ17)</f>
        <v>0</v>
      </c>
      <c r="AM17" s="50">
        <v>30</v>
      </c>
      <c r="AN17" s="38">
        <f>(AO17/CM21)</f>
        <v>672.24985458387243</v>
      </c>
      <c r="AO17" s="38">
        <f>(566.31/30*AM17)</f>
        <v>566.30999999999995</v>
      </c>
      <c r="AP17" s="50">
        <v>30</v>
      </c>
      <c r="AQ17" s="38">
        <f>(AZ4/CM21)</f>
        <v>1810.2824040550327</v>
      </c>
      <c r="AT17" s="50">
        <v>30</v>
      </c>
      <c r="AU17" s="38">
        <f>(AV17/CM13)</f>
        <v>510.44028442207474</v>
      </c>
      <c r="AV17" s="38">
        <f t="shared" si="83"/>
        <v>430</v>
      </c>
      <c r="AW17" s="38">
        <f>(0)</f>
        <v>0</v>
      </c>
      <c r="AX17" s="38">
        <f>(0)</f>
        <v>0</v>
      </c>
      <c r="AY17" s="38">
        <f>(0)</f>
        <v>0</v>
      </c>
      <c r="AZ17" s="50">
        <v>30</v>
      </c>
      <c r="BA17" s="38">
        <f>(BB17/CM13)</f>
        <v>9561.8523046972387</v>
      </c>
      <c r="BB17" s="38">
        <f>(AP14*AZ17)</f>
        <v>8055</v>
      </c>
      <c r="BC17" s="50">
        <v>30</v>
      </c>
      <c r="BD17" s="38">
        <f>(BE17/CM13)</f>
        <v>672.24985458387243</v>
      </c>
      <c r="BE17" s="38">
        <f t="shared" si="84"/>
        <v>566.30999999999995</v>
      </c>
      <c r="BF17" s="50">
        <v>30</v>
      </c>
      <c r="BG17" s="38">
        <f>(BH17/CM13)</f>
        <v>296.76760722213652</v>
      </c>
      <c r="BH17" s="38">
        <f t="shared" si="85"/>
        <v>250.00000000000003</v>
      </c>
      <c r="BJ17" s="38">
        <f t="shared" si="80"/>
        <v>0</v>
      </c>
      <c r="BK17" s="38">
        <f t="shared" si="81"/>
        <v>0</v>
      </c>
      <c r="BL17" s="36" t="s">
        <v>0</v>
      </c>
      <c r="BM17" s="38">
        <f t="shared" si="5"/>
        <v>396.73</v>
      </c>
      <c r="BN17" s="38">
        <f t="shared" si="86"/>
        <v>393.71881930000001</v>
      </c>
      <c r="BO17" s="38">
        <f t="shared" si="87"/>
        <v>396.73</v>
      </c>
      <c r="BU17" s="38">
        <f t="shared" ref="BU17:BU26" ca="1" si="88">(CS11*0.14*-1)</f>
        <v>-1963.7624235739481</v>
      </c>
      <c r="BV17" s="38">
        <f t="shared" ref="BV17:BV26" ca="1" si="89">(CS11*0.01*-1)</f>
        <v>-140.26874454099629</v>
      </c>
      <c r="BW17" s="45" t="s">
        <v>41</v>
      </c>
      <c r="BX17" s="39">
        <v>209.75</v>
      </c>
      <c r="BY17" s="38">
        <f>(0)</f>
        <v>0</v>
      </c>
      <c r="BZ17" s="38">
        <f>(AY26+BE26+BF26-BY17)</f>
        <v>5500.3499999999995</v>
      </c>
      <c r="CA17" s="38">
        <f>SUM(BZ$7:$BZ17)</f>
        <v>53022.149999999994</v>
      </c>
      <c r="CB17" s="49">
        <f t="shared" si="27"/>
        <v>0.2</v>
      </c>
      <c r="CC17" s="40">
        <f t="shared" si="36"/>
        <v>0</v>
      </c>
      <c r="CD17" s="38">
        <f>(BI10+AI16+BH5+BL5)</f>
        <v>314.3659263304092</v>
      </c>
      <c r="CE17" s="38">
        <f ca="1">(CW24+BU26+BV26-CD17)</f>
        <v>14902.033960941919</v>
      </c>
      <c r="CF17" s="38">
        <f ca="1">SUM($CE$8:CE17)</f>
        <v>153053.87134691767</v>
      </c>
      <c r="CG17" s="49">
        <f t="shared" ca="1" si="38"/>
        <v>0.27</v>
      </c>
      <c r="CH17" s="40">
        <f t="shared" ca="1" si="40"/>
        <v>0</v>
      </c>
      <c r="CI17" s="44">
        <f>(0)</f>
        <v>0</v>
      </c>
      <c r="CJ17" s="38">
        <f>(0)</f>
        <v>0</v>
      </c>
      <c r="CK17" s="38">
        <f>(0)</f>
        <v>0</v>
      </c>
      <c r="CL17" s="38">
        <f t="shared" si="59"/>
        <v>0</v>
      </c>
      <c r="CM17" s="44">
        <f t="shared" si="70"/>
        <v>0.84240999999999999</v>
      </c>
      <c r="CN17" s="44">
        <f t="shared" si="60"/>
        <v>0.84240999999999999</v>
      </c>
      <c r="CO17" s="44">
        <f t="shared" si="61"/>
        <v>0.99241000000000001</v>
      </c>
      <c r="CP17" s="38">
        <f ca="1">(CX21)</f>
        <v>-114.80774780662261</v>
      </c>
      <c r="CQ17" s="38">
        <f>(BE7+AH10+BM21+BH2)</f>
        <v>655.53</v>
      </c>
      <c r="CR17" s="38">
        <f ca="1">(CW21-CQ17)</f>
        <v>14470.655481768459</v>
      </c>
      <c r="CS17" s="38">
        <f ca="1">IF(CR17&gt;=BK23*7.5,BK23*7.5,CR17)</f>
        <v>14470.655481768459</v>
      </c>
      <c r="CT17" s="38" t="s">
        <v>0</v>
      </c>
      <c r="CU17" s="38">
        <f ca="1">(CW21)</f>
        <v>15126.18548176846</v>
      </c>
      <c r="CV17" s="38">
        <f t="shared" ca="1" si="65"/>
        <v>3100.868023762534</v>
      </c>
      <c r="CW17" s="38">
        <f t="shared" ca="1" si="66"/>
        <v>151.26185481768459</v>
      </c>
      <c r="CX17" s="38">
        <f t="shared" ca="1" si="67"/>
        <v>-756.30927408842308</v>
      </c>
      <c r="CY17" s="38">
        <f t="shared" ca="1" si="68"/>
        <v>17622.006086260255</v>
      </c>
      <c r="CZ17" s="38" t="s">
        <v>0</v>
      </c>
      <c r="DA17" s="38">
        <f t="shared" ref="DA17" ca="1" si="90">(DA16/12)</f>
        <v>19009.134015094776</v>
      </c>
      <c r="DB17" s="38">
        <f t="shared" ref="DB17" ca="1" si="91">(DB16/12)</f>
        <v>3896.8724730944286</v>
      </c>
      <c r="DC17" s="38">
        <f t="shared" ref="DC17" ca="1" si="92">(DC16/12)</f>
        <v>190.09134015094779</v>
      </c>
      <c r="DD17" s="38">
        <f t="shared" ref="DD17" ca="1" si="93">(DD16/12)</f>
        <v>-950.45670075473879</v>
      </c>
      <c r="DE17" s="38">
        <f t="shared" ref="DE17" ca="1" si="94">(DE16/12)</f>
        <v>22145.641127585415</v>
      </c>
      <c r="DF17" s="42">
        <v>15</v>
      </c>
      <c r="DG17" s="46">
        <v>7.5</v>
      </c>
      <c r="DH17" s="47">
        <v>0.17</v>
      </c>
      <c r="DI17" s="55"/>
    </row>
    <row r="18" spans="1:113" ht="39.950000000000003" customHeight="1" x14ac:dyDescent="0.25">
      <c r="A18" s="5">
        <f t="shared" si="79"/>
        <v>0</v>
      </c>
      <c r="B18" s="6" t="s">
        <v>16</v>
      </c>
      <c r="C18" s="14">
        <v>0</v>
      </c>
      <c r="D18" s="15">
        <v>40</v>
      </c>
      <c r="E18" s="15">
        <v>0</v>
      </c>
      <c r="F18" s="14">
        <v>20</v>
      </c>
      <c r="G18" s="14">
        <v>0</v>
      </c>
      <c r="H18" s="16" t="s">
        <v>1</v>
      </c>
      <c r="I18" s="16" t="s">
        <v>1</v>
      </c>
      <c r="J18" s="16" t="s">
        <v>1</v>
      </c>
      <c r="K18" s="17">
        <v>0</v>
      </c>
      <c r="L18" s="7">
        <f ca="1">(CR4-BM18+AY23+BY4+CP14+BU20+BV20+CL14-M18)</f>
        <v>9137.6232651931714</v>
      </c>
      <c r="M18" s="7">
        <f ca="1">(AW4+AY4+AF7+BZ4)</f>
        <v>2705.25</v>
      </c>
      <c r="N18" s="8">
        <f t="shared" ca="1" si="82"/>
        <v>11842.873265193171</v>
      </c>
      <c r="O18" s="18" t="s">
        <v>36</v>
      </c>
      <c r="P18" s="19">
        <f t="shared" si="69"/>
        <v>0</v>
      </c>
      <c r="Q18" s="20">
        <f>COUNTIF(R1,"Ocak")*(CL11)*-1
+COUNTIF(R1,"Şubat")*(CL12)*-1
+COUNTIF(R1,"Mart")*(CL13)*-1
+COUNTIF(R1,"Nisan")*(CL14)*-1
+COUNTIF(R1,"Mayıs")*(CL15)*-1
+COUNTIF(R1,"Haziran")*(CL16)*-1
+COUNTIF(R1,"Temmuz")*(CL17)*-1
+COUNTIF(R1,"Ağustos")*(CL18)*-1
+COUNTIF(R1,"Eylül")*(CL19)*-1
+COUNTIF(R1,"Ekim")*(CL20)*-1
+COUNTIF(R1,"Kasım")*(CL21)*-1
+COUNTIF(R1,"Aralık")*(CL22)*-1
+COUNTIF(R1,"Yıllık Toplam")*(CL23)*-1
+COUNTIF(R1,"Yıllık Ortalama")*(CL24)*-1</f>
        <v>0</v>
      </c>
      <c r="R18" s="72"/>
      <c r="S18" s="71"/>
      <c r="T18" s="21" t="s">
        <v>0</v>
      </c>
      <c r="U18" s="26" t="s">
        <v>0</v>
      </c>
      <c r="V18" s="60"/>
      <c r="W18" s="61"/>
      <c r="X18" s="63"/>
      <c r="Y18" s="62"/>
      <c r="Z18" s="30"/>
      <c r="AA18" s="52" t="s">
        <v>80</v>
      </c>
      <c r="AB18" s="38">
        <v>201</v>
      </c>
      <c r="AC18" s="38">
        <v>208.27</v>
      </c>
      <c r="AD18" s="38">
        <v>208.27</v>
      </c>
      <c r="AE18" s="38">
        <f>(AF18/CM22)</f>
        <v>714.61639819090465</v>
      </c>
      <c r="AF18" s="38">
        <f>(602/30*AT26)</f>
        <v>602</v>
      </c>
      <c r="AG18" s="38">
        <f>(0)</f>
        <v>0</v>
      </c>
      <c r="AH18" s="38">
        <f>(0)</f>
        <v>0</v>
      </c>
      <c r="AI18" s="38">
        <f>(0)</f>
        <v>0</v>
      </c>
      <c r="AJ18" s="50">
        <v>30</v>
      </c>
      <c r="AK18" s="38">
        <f>(AL18/CM22)</f>
        <v>10478.864211013639</v>
      </c>
      <c r="AL18" s="38">
        <f>(AP26*AJ18)</f>
        <v>8827.5</v>
      </c>
      <c r="AM18" s="50">
        <v>30</v>
      </c>
      <c r="AN18" s="38">
        <f>(AO18/CM22)</f>
        <v>672.24985458387243</v>
      </c>
      <c r="AO18" s="38">
        <f>(566.31/30*AM18)</f>
        <v>566.30999999999995</v>
      </c>
      <c r="AP18" s="50">
        <v>30</v>
      </c>
      <c r="AQ18" s="38">
        <f>(AZ5/CM22)</f>
        <v>1810.2824040550327</v>
      </c>
      <c r="AT18" s="50">
        <v>30</v>
      </c>
      <c r="AU18" s="38">
        <f>(AV18/CM14)</f>
        <v>660.22483113923147</v>
      </c>
      <c r="AV18" s="38">
        <f>(556.18/30*AT18)</f>
        <v>556.17999999999995</v>
      </c>
      <c r="AW18" s="38">
        <f>(0)</f>
        <v>0</v>
      </c>
      <c r="AX18" s="38">
        <f>(0)</f>
        <v>0</v>
      </c>
      <c r="AY18" s="38">
        <f>(0)</f>
        <v>0</v>
      </c>
      <c r="AZ18" s="50">
        <v>0</v>
      </c>
      <c r="BA18" s="38">
        <f>(BB18/CM14)</f>
        <v>0</v>
      </c>
      <c r="BB18" s="38">
        <f>(AP1*AZ18)</f>
        <v>0</v>
      </c>
      <c r="BC18" s="50">
        <v>30</v>
      </c>
      <c r="BD18" s="38">
        <f>(BE18/CM14)</f>
        <v>672.24985458387243</v>
      </c>
      <c r="BE18" s="38">
        <f t="shared" si="84"/>
        <v>566.30999999999995</v>
      </c>
      <c r="BF18" s="50">
        <v>30</v>
      </c>
      <c r="BG18" s="38">
        <f>(BH18/CM14)</f>
        <v>296.76760722213652</v>
      </c>
      <c r="BH18" s="38">
        <f t="shared" si="85"/>
        <v>250.00000000000003</v>
      </c>
      <c r="BJ18" s="38">
        <f t="shared" si="80"/>
        <v>0</v>
      </c>
      <c r="BK18" s="38">
        <f t="shared" si="81"/>
        <v>0</v>
      </c>
      <c r="BL18" s="36" t="s">
        <v>0</v>
      </c>
      <c r="BM18" s="38">
        <f t="shared" si="5"/>
        <v>396.73</v>
      </c>
      <c r="BN18" s="38">
        <f t="shared" si="86"/>
        <v>393.71881930000001</v>
      </c>
      <c r="BO18" s="38">
        <f t="shared" si="87"/>
        <v>396.73</v>
      </c>
      <c r="BU18" s="38">
        <f t="shared" ca="1" si="88"/>
        <v>-1829.896491308187</v>
      </c>
      <c r="BV18" s="38">
        <f t="shared" ca="1" si="89"/>
        <v>-130.70689223629907</v>
      </c>
      <c r="BW18" s="45" t="s">
        <v>38</v>
      </c>
      <c r="BX18" s="39">
        <v>7687</v>
      </c>
      <c r="BY18" s="38">
        <f>(0)</f>
        <v>0</v>
      </c>
      <c r="BZ18" s="38">
        <f>(AY27+BE27+BF27-BY18)</f>
        <v>5500.3499999999995</v>
      </c>
      <c r="CA18" s="38">
        <f>SUM(BZ$7:$BZ18)</f>
        <v>58522.499999999993</v>
      </c>
      <c r="CB18" s="49">
        <f t="shared" si="27"/>
        <v>0.2</v>
      </c>
      <c r="CC18" s="40">
        <f t="shared" si="36"/>
        <v>0</v>
      </c>
      <c r="CD18" s="38">
        <f>(BI11+AI17+BB20+BF20)</f>
        <v>314.3659263304092</v>
      </c>
      <c r="CE18" s="38">
        <f ca="1">(CQ7+DA7+DB7-CD18)</f>
        <v>14605.132808296534</v>
      </c>
      <c r="CF18" s="38">
        <f ca="1">SUM($CE$8:CE18)</f>
        <v>167659.00415521421</v>
      </c>
      <c r="CG18" s="49">
        <f t="shared" ca="1" si="38"/>
        <v>0.27</v>
      </c>
      <c r="CH18" s="40">
        <f t="shared" ca="1" si="40"/>
        <v>0</v>
      </c>
      <c r="CI18" s="44">
        <f>(0)</f>
        <v>0</v>
      </c>
      <c r="CJ18" s="38">
        <f>(0)</f>
        <v>0</v>
      </c>
      <c r="CK18" s="38">
        <f>(0)</f>
        <v>0</v>
      </c>
      <c r="CL18" s="38">
        <f t="shared" si="59"/>
        <v>0</v>
      </c>
      <c r="CM18" s="44">
        <f t="shared" si="70"/>
        <v>0.84240999999999999</v>
      </c>
      <c r="CN18" s="44">
        <f t="shared" si="60"/>
        <v>0.84240999999999999</v>
      </c>
      <c r="CO18" s="44">
        <f t="shared" si="61"/>
        <v>0.99241000000000001</v>
      </c>
      <c r="CP18" s="38">
        <f ca="1">(CX22)</f>
        <v>-114.80774780662261</v>
      </c>
      <c r="CQ18" s="38">
        <f>(BE8+AH11+BD1+BH3)</f>
        <v>655.53</v>
      </c>
      <c r="CR18" s="38">
        <f ca="1">(CW22-CQ18)</f>
        <v>14470.655481768459</v>
      </c>
      <c r="CS18" s="38">
        <f ca="1">IF(CR18&gt;=BK24*7.5,BK24*7.5,CR18)</f>
        <v>14470.655481768459</v>
      </c>
      <c r="DF18" s="42">
        <v>16</v>
      </c>
      <c r="DG18" s="46">
        <v>8</v>
      </c>
      <c r="DH18" s="47">
        <v>0.18</v>
      </c>
      <c r="DI18" s="55"/>
    </row>
    <row r="19" spans="1:113" ht="39.950000000000003" customHeight="1" x14ac:dyDescent="0.25">
      <c r="A19" s="5">
        <f t="shared" si="79"/>
        <v>0</v>
      </c>
      <c r="B19" s="6" t="s">
        <v>17</v>
      </c>
      <c r="C19" s="14">
        <v>0</v>
      </c>
      <c r="D19" s="15">
        <v>40</v>
      </c>
      <c r="E19" s="15">
        <v>0</v>
      </c>
      <c r="F19" s="14">
        <v>20</v>
      </c>
      <c r="G19" s="14">
        <v>0</v>
      </c>
      <c r="H19" s="16" t="s">
        <v>1</v>
      </c>
      <c r="I19" s="16" t="s">
        <v>1</v>
      </c>
      <c r="J19" s="16" t="s">
        <v>1</v>
      </c>
      <c r="K19" s="17">
        <v>0</v>
      </c>
      <c r="L19" s="7">
        <f ca="1">(CR5-BM19+AY24+BY5+CP15+BU21+BV21+CL15-M19)</f>
        <v>9451.9432651931693</v>
      </c>
      <c r="M19" s="7">
        <f ca="1">(AW5+AY5+AF8+BZ5)</f>
        <v>2705.25</v>
      </c>
      <c r="N19" s="8">
        <f t="shared" ca="1" si="82"/>
        <v>12157.193265193169</v>
      </c>
      <c r="O19" s="18" t="s">
        <v>74</v>
      </c>
      <c r="P19" s="19">
        <f t="shared" ca="1" si="69"/>
        <v>265747.69353102497</v>
      </c>
      <c r="Q19" s="20">
        <f ca="1">COUNTIF(R1,"Ocak")*(CY11)
+COUNTIF(R1,"Şubat")*(CY12)
+COUNTIF(R1,"Mart")*(CY13)
+COUNTIF(R1,"Nisan")*(CY14)
+COUNTIF(R1,"Mayıs")*(CY15)
+COUNTIF(R1,"Haziran")*(CY16)
+COUNTIF(R1,"Temmuz")*(CY17)
+COUNTIF(R1,"Ağustos")*(DE11)
+COUNTIF(R1,"Eylül")*(DE12)
+COUNTIF(R1,"Ekim")*(DE13)
+COUNTIF(R1,"Kasım")*(DE14)
+COUNTIF(R1,"Aralık")*(DE15)
+COUNTIF(R1,"Yıllık Toplam")*(DE16)
+COUNTIF(R1,"Yıllık Ortalama")*(DE17)</f>
        <v>265747.69353102497</v>
      </c>
      <c r="R19" s="72"/>
      <c r="S19" s="71"/>
      <c r="T19" s="21" t="s">
        <v>0</v>
      </c>
      <c r="U19" s="26" t="s">
        <v>0</v>
      </c>
      <c r="V19" s="60"/>
      <c r="W19" s="61"/>
      <c r="X19" s="63"/>
      <c r="Y19" s="62"/>
      <c r="Z19" s="30"/>
      <c r="AA19" s="52" t="s">
        <v>106</v>
      </c>
      <c r="AB19" s="38">
        <v>199</v>
      </c>
      <c r="AC19" s="38">
        <v>208.27</v>
      </c>
      <c r="AD19" s="38">
        <v>208.27</v>
      </c>
      <c r="AE19" s="38">
        <f>(AU15+AU16+AU17+AU18+AU19+AE9+AE10+AE11+AE15+AE16+AE17+AE18)</f>
        <v>7908.4768699326942</v>
      </c>
      <c r="AF19" s="38">
        <f>(AV15+AV16+AV17+AV18+AV19+AF9+AF10+AF11+AF15+AF16+AF17+AF18)</f>
        <v>6662.18</v>
      </c>
      <c r="AG19" s="38">
        <f>(AW15+AW16+AW17+AW18+AW19+AG9+AG10+AG11+AG15+AG16+AG17+AG18)</f>
        <v>0</v>
      </c>
      <c r="AH19" s="38">
        <f>(AX15+AX16+AX17+AX18+AX19+AH9+AH10+AH11+AH15+AH16+AH17+AH18)</f>
        <v>0</v>
      </c>
      <c r="AI19" s="38">
        <f>(AY15+AY16+AY17+AY18+AY19+AI9+AI10+AI11+AI15+AI16+AI17+AI18)</f>
        <v>0</v>
      </c>
      <c r="AJ19" s="36" t="s">
        <v>0</v>
      </c>
      <c r="AK19" s="38">
        <f t="shared" ref="AK19:AQ19" si="95">(BA15+BA16+BA17+BA18+BA19+AK9+AK10+AK11+AK15+AK16+AK17+AK18)</f>
        <v>39470.09176054415</v>
      </c>
      <c r="AL19" s="38">
        <f t="shared" si="95"/>
        <v>33250</v>
      </c>
      <c r="AM19" s="50">
        <f t="shared" si="95"/>
        <v>360</v>
      </c>
      <c r="AN19" s="38">
        <f t="shared" si="95"/>
        <v>8066.9982550064697</v>
      </c>
      <c r="AO19" s="38">
        <f t="shared" si="95"/>
        <v>6795.7199999999975</v>
      </c>
      <c r="AP19" s="50">
        <f t="shared" si="95"/>
        <v>360</v>
      </c>
      <c r="AQ19" s="38">
        <f t="shared" si="95"/>
        <v>9615.2704739972232</v>
      </c>
      <c r="AT19" s="50">
        <v>30</v>
      </c>
      <c r="AU19" s="38">
        <f>(AV19/CM15)</f>
        <v>714.61639819090465</v>
      </c>
      <c r="AV19" s="38">
        <f t="shared" ref="AV19" si="96">(602/30*AT19)</f>
        <v>602</v>
      </c>
      <c r="AW19" s="38">
        <f>(0)</f>
        <v>0</v>
      </c>
      <c r="AX19" s="38">
        <f>(0)</f>
        <v>0</v>
      </c>
      <c r="AY19" s="38">
        <f>(0)</f>
        <v>0</v>
      </c>
      <c r="AZ19" s="50">
        <v>0</v>
      </c>
      <c r="BA19" s="38">
        <f>(BB19/CM15)</f>
        <v>0</v>
      </c>
      <c r="BB19" s="38">
        <f>(AP2*AZ19)</f>
        <v>0</v>
      </c>
      <c r="BC19" s="50">
        <v>30</v>
      </c>
      <c r="BD19" s="38">
        <f>(BE19/CM15)</f>
        <v>672.24985458387243</v>
      </c>
      <c r="BE19" s="38">
        <f t="shared" si="84"/>
        <v>566.30999999999995</v>
      </c>
      <c r="BF19" s="50">
        <v>30</v>
      </c>
      <c r="BG19" s="38">
        <f>(BH19/CM15)</f>
        <v>296.76760722213652</v>
      </c>
      <c r="BH19" s="38">
        <f t="shared" si="85"/>
        <v>250.00000000000003</v>
      </c>
      <c r="BJ19" s="38">
        <f t="shared" si="80"/>
        <v>0</v>
      </c>
      <c r="BK19" s="38">
        <f t="shared" si="81"/>
        <v>0</v>
      </c>
      <c r="BL19" s="36" t="s">
        <v>0</v>
      </c>
      <c r="BM19" s="38">
        <f t="shared" si="5"/>
        <v>396.73</v>
      </c>
      <c r="BN19" s="38">
        <f t="shared" si="86"/>
        <v>393.71881930000001</v>
      </c>
      <c r="BO19" s="38">
        <f t="shared" si="87"/>
        <v>396.73</v>
      </c>
      <c r="BU19" s="38">
        <f t="shared" ca="1" si="88"/>
        <v>-3345.631147095562</v>
      </c>
      <c r="BV19" s="38">
        <f t="shared" ca="1" si="89"/>
        <v>-238.97365336396871</v>
      </c>
      <c r="BW19" s="45" t="s">
        <v>2</v>
      </c>
      <c r="BX19" s="39">
        <v>188.77</v>
      </c>
      <c r="BY19" s="38">
        <f t="shared" ref="BY19" si="97">(BY7+BY8+BY9+BY10+BY11+BY12+BY13+BY14+BY15+BY16+BY17+BY18)</f>
        <v>0</v>
      </c>
      <c r="BZ19" s="38">
        <f t="shared" ref="BZ19" si="98">(BZ7+BZ8+BZ9+BZ10+BZ11+BZ12+BZ13+BZ14+BZ15+BZ16+BZ17+BZ18)</f>
        <v>58522.499999999993</v>
      </c>
      <c r="CA19" s="36" t="s">
        <v>0</v>
      </c>
      <c r="CB19" s="42" t="s">
        <v>0</v>
      </c>
      <c r="CC19" s="42" t="s">
        <v>0</v>
      </c>
      <c r="CD19" s="38">
        <f>(BI12+AI18+BB21+BF21)</f>
        <v>314.3659263304092</v>
      </c>
      <c r="CE19" s="38">
        <f ca="1">(CQ8+DA8+DB8-CD19)</f>
        <v>23809.06854030351</v>
      </c>
      <c r="CF19" s="38">
        <f ca="1">SUM($CE$8:CE19)</f>
        <v>191468.07269551771</v>
      </c>
      <c r="CG19" s="49">
        <f t="shared" ca="1" si="38"/>
        <v>0.27</v>
      </c>
      <c r="CH19" s="40">
        <f t="shared" ca="1" si="40"/>
        <v>0</v>
      </c>
      <c r="CI19" s="44">
        <f>(0)</f>
        <v>0</v>
      </c>
      <c r="CJ19" s="38">
        <f>(0)</f>
        <v>0</v>
      </c>
      <c r="CK19" s="38">
        <f>(0)</f>
        <v>0</v>
      </c>
      <c r="CL19" s="38">
        <f t="shared" si="59"/>
        <v>0</v>
      </c>
      <c r="CM19" s="44">
        <f t="shared" si="70"/>
        <v>0.84240999999999999</v>
      </c>
      <c r="CN19" s="44">
        <f t="shared" si="60"/>
        <v>0.84240999999999999</v>
      </c>
      <c r="CO19" s="44">
        <f t="shared" si="61"/>
        <v>0.99241000000000001</v>
      </c>
      <c r="CP19" s="38">
        <f ca="1">(CX23)</f>
        <v>-207.23882204600721</v>
      </c>
      <c r="CQ19" s="38">
        <f>(BE9+AH15+BD2+BH4)</f>
        <v>655.53</v>
      </c>
      <c r="CR19" s="38">
        <f ca="1">(CW23-CQ19)</f>
        <v>26648.662627932441</v>
      </c>
      <c r="CS19" s="38">
        <f ca="1">IF(CR19&gt;=BK25*7.5,BK25*7.5,CR19)</f>
        <v>26648.662627932441</v>
      </c>
      <c r="DF19" s="42">
        <v>17</v>
      </c>
      <c r="DG19" s="46">
        <v>8.5</v>
      </c>
      <c r="DH19" s="47">
        <v>0.19</v>
      </c>
      <c r="DI19" s="55"/>
    </row>
    <row r="20" spans="1:113" ht="39.950000000000003" customHeight="1" x14ac:dyDescent="0.25">
      <c r="A20" s="5">
        <f t="shared" si="79"/>
        <v>0</v>
      </c>
      <c r="B20" s="6" t="s">
        <v>18</v>
      </c>
      <c r="C20" s="14">
        <v>0</v>
      </c>
      <c r="D20" s="15">
        <v>40</v>
      </c>
      <c r="E20" s="15">
        <v>0</v>
      </c>
      <c r="F20" s="14">
        <v>20</v>
      </c>
      <c r="G20" s="14">
        <v>0</v>
      </c>
      <c r="H20" s="16" t="s">
        <v>1</v>
      </c>
      <c r="I20" s="16" t="s">
        <v>1</v>
      </c>
      <c r="J20" s="16" t="s">
        <v>1</v>
      </c>
      <c r="K20" s="17">
        <v>0</v>
      </c>
      <c r="L20" s="7">
        <f ca="1">(CR6-BM20+BK1+BG22+CP16+BU22+BV22+CL16-M20)</f>
        <v>17238.443265193171</v>
      </c>
      <c r="M20" s="7">
        <f ca="1">(AW6+AY6+BA6+BH22)</f>
        <v>2705.25</v>
      </c>
      <c r="N20" s="8">
        <f t="shared" ca="1" si="82"/>
        <v>19943.693265193171</v>
      </c>
      <c r="O20" s="21" t="s">
        <v>45</v>
      </c>
      <c r="P20" s="19">
        <f t="shared" ca="1" si="69"/>
        <v>184975.96076942293</v>
      </c>
      <c r="Q20" s="19">
        <f ca="1">COUNTIF(R1,"Ocak")*N15
+COUNTIF(R1,"Şubat")*N16
+COUNTIF(R1,"Mart")*N17
+COUNTIF(R1,"Nisan")*N18
+COUNTIF(R1,"Mayıs")*N19
+COUNTIF(R1,"Haziran")*N20
+COUNTIF(R1,"Temmuz")*N21
+COUNTIF(R1,"Ağustos")*N22
+COUNTIF(R1,"Eylül")*N23
+COUNTIF(R1,"Ekim")*N24
+COUNTIF(R1,"Kasım")*N25
+COUNTIF(R1,"Aralık")*N26
+COUNTIF(R1,"Yıllık Toplam")*(N27)*-1
+COUNTIF(R1,"Yıllık Ortalama")*(N28)*-1</f>
        <v>-184975.96076942293</v>
      </c>
      <c r="R20" s="72"/>
      <c r="S20" s="71"/>
      <c r="T20" s="21" t="s">
        <v>0</v>
      </c>
      <c r="U20" s="26" t="s">
        <v>0</v>
      </c>
      <c r="V20" s="60"/>
      <c r="W20" s="61"/>
      <c r="X20" s="63"/>
      <c r="Y20" s="62"/>
      <c r="Z20" s="30"/>
      <c r="AA20" s="52" t="s">
        <v>107</v>
      </c>
      <c r="AB20" s="38">
        <v>196</v>
      </c>
      <c r="AC20" s="38">
        <v>208.27</v>
      </c>
      <c r="AD20" s="38">
        <v>208.27</v>
      </c>
      <c r="AE20" s="38">
        <f t="shared" ref="AE20:AI20" si="99">(AE19/12)</f>
        <v>659.03973916105781</v>
      </c>
      <c r="AF20" s="38">
        <f t="shared" si="99"/>
        <v>555.18166666666673</v>
      </c>
      <c r="AG20" s="38">
        <f t="shared" si="99"/>
        <v>0</v>
      </c>
      <c r="AH20" s="38">
        <f t="shared" si="99"/>
        <v>0</v>
      </c>
      <c r="AI20" s="38">
        <f t="shared" si="99"/>
        <v>0</v>
      </c>
      <c r="AJ20" s="36" t="s">
        <v>0</v>
      </c>
      <c r="AK20" s="38">
        <f t="shared" ref="AK20:AL20" si="100">(AK19/12)</f>
        <v>3289.174313378679</v>
      </c>
      <c r="AL20" s="38">
        <f t="shared" si="100"/>
        <v>2770.8333333333335</v>
      </c>
      <c r="AM20" s="36" t="s">
        <v>0</v>
      </c>
      <c r="AN20" s="38">
        <f t="shared" ref="AN20:AO20" si="101">(AN19/12)</f>
        <v>672.24985458387243</v>
      </c>
      <c r="AO20" s="38">
        <f t="shared" si="101"/>
        <v>566.30999999999983</v>
      </c>
      <c r="AP20" s="36" t="s">
        <v>0</v>
      </c>
      <c r="AQ20" s="38">
        <f>(AQ19/12)</f>
        <v>801.27253949976864</v>
      </c>
      <c r="AT20" s="50">
        <v>30</v>
      </c>
      <c r="AU20" s="39">
        <f>COUNTIF(H15,"Yok")*(0)
+COUNTIF(H15,"Askerlik Yardımı")*($BX$2/CM11)
+COUNTIF(H15,"Cenaze Yardımı (Anne-Baba)")*($BX$3+$BX$3*0.00759)
+COUNTIF(H15,"Cenaze Yardımı (Eş-Çocuk)")*($BX$4+$BX$4*0.00759)
+COUNTIF(H15,"Cenaze Yardımı (İşçi-İş Kazası Sonucu)")*($BX$5+$BX$5*0.00759)
+COUNTIF(H15,"Cenaze Yardımı (İşçi-Tabii Sebepler Sonucu)")*($BX$6+$BX$6*0.00759)
+COUNTIF(H15,"Çikolata Yardımı")*($BX$7+$BX$7*0.00759)
+COUNTIF(H15,"Doğal Afet Yardımı")*($BX$8+$BX$8*0.00759)
+COUNTIF(H15,"Doğum Yardımı (İşveren)")*($BX$9+$BX$9*0.00759)
+COUNTIF(H15,"Eğitim Yardımı (Çocuk-İlköğretim)")*($BX$10/CM11)
+COUNTIF(H15,"Eğitim Yardımı (Çocuk-Ortaöğretim)")*($BX$11/CM11)
+COUNTIF(H15,"Eğitim Yardımı (Çocuk-Lise)")*($BX$12/CM11)
+COUNTIF(H15,"Eğitim Yardımı (Çocuk-Yükseköğretim)")*($BX$13/CM11)
+COUNTIF(H15,"Eğitim Yardımı (İşçi-Lise)")*($BX$14/CM11)
+COUNTIF(H15,"Eğitim Yardımı (İşçi-Yükseköğretim)")*($BX$15/CM11)
+COUNTIF(H15,"Evlilik Yardımı")*($BX$16+$BX$16*0.00759)
+COUNTIF(H15,"Gıda Yardımı")*($BX$17/CM11)
+COUNTIF(H15,"İş Kazası veya Meslek Hastalığı Tazminatı")*($BX$18+$BX$18*0.00759)
+COUNTIF(H15,"Temizlik Yardımı")*($BX$19/CM11)
+COUNTIF(I15,"Yok")*(0)
+COUNTIF(I15,"Askerlik Yardımı")*($BX$2/CM11)
+COUNTIF(I15,"Cenaze Yardımı (Anne-Baba)")*($BX$3+$BX$3*0.00759)
+COUNTIF(I15,"Cenaze Yardımı (Eş-Çocuk)")*($BX$4+$BX$4*0.00759)
+COUNTIF(I15,"Cenaze Yardımı (İşçi-İş Kazası Sonucu)")*($BX$5+$BX$5*0.00759)
+COUNTIF(I15,"Cenaze Yardımı (İşçi-Tabii Sebepler Sonucu)")*($BX$6+$BX$6*0.00759)
+COUNTIF(I15,"Çikolata Yardımı")*($BX$7+$BX$7*0.00759)
+COUNTIF(I15,"Doğal Afet Yardımı")*($BX$8+$BX$8*0.00759)
+COUNTIF(I15,"Doğum Yardımı (İşveren)")*($BX$9+$BX$9*0.00759)
+COUNTIF(I15,"Eğitim Yardımı (Çocuk-İlköğretim)")*($BX$10/CM11)
+COUNTIF(I15,"Eğitim Yardımı (Çocuk-Ortaöğretim)")*($BX$11/CM11)
+COUNTIF(I15,"Eğitim Yardımı (Çocuk-Lise)")*($BX$12/CM11)
+COUNTIF(I15,"Eğitim Yardımı (Çocuk-Yükseköğretim)")*($BX$13/CM11)
+COUNTIF(I15,"Eğitim Yardımı (İşçi-Lise)")*($BX$14/CM11)
+COUNTIF(I15,"Eğitim Yardımı (İşçi-Yükseköğretim)")*($BX$15/CM11)
+COUNTIF(I15,"Evlilik Yardımı")*($BX$16+$BX$16*0.00759)
+COUNTIF(I15,"Gıda Yardımı")*($BX$17/CM11)
+COUNTIF(I15,"İş Kazası veya Meslek Hastalığı Tazminatı")*($BX$18+$BX$18*0.00759)
+COUNTIF(I15,"Temizlik Yardımı")*($BX$19/CM11)
+COUNTIF(J15,"Yok")*(0)
+COUNTIF(J15,"Askerlik Yardımı")*($BX$2/CM11)
+COUNTIF(J15,"Cenaze Yardımı (Anne-Baba)")*($BX$3+$BX$3*0.00759)
+COUNTIF(J15,"Cenaze Yardımı (Eş-Çocuk)")*($BX$4+$BX$4*0.00759)
+COUNTIF(J15,"Cenaze Yardımı (İşçi-İş Kazası Sonucu)")*($BX$5+$BX$5*0.00759)
+COUNTIF(J15,"Cenaze Yardımı (İşçi-Tabii Sebepler Sonucu)")*($BX$6+$BX$6*0.00759)
+COUNTIF(J15,"Çikolata Yardımı")*($BX$7+$BX$7*0.00759)
+COUNTIF(J15,"Doğal Afet Yardımı")*($BX$8+$BX$8*0.00759)
+COUNTIF(J15,"Doğum Yardımı (İşveren)")*($BX$9+$BX$9*0.00759)
+COUNTIF(J15,"Eğitim Yardımı (Çocuk-İlköğretim)")*($BX$10/CM11)
+COUNTIF(J15,"Eğitim Yardımı (Çocuk-Ortaöğretim)")*($BX$11/CM11)
+COUNTIF(J15,"Eğitim Yardımı (Çocuk-Lise)")*($BX$12/CM11)
+COUNTIF(J15,"Eğitim Yardımı (Çocuk-Yükseköğretim)")*($BX$13/CM11)
+COUNTIF(J15,"Eğitim Yardımı (İşçi-Lise)")*($BX$14/CM11)
+COUNTIF(J15,"Eğitim Yardımı (İşçi-Yükseköğretim)")*($BX$15/CM11)
+COUNTIF(J15,"Evlilik Yardımı")*($BX$16+$BX$16*0.00759)
+COUNTIF(J15,"Gıda Yardımı")*($BX$17/CM11)
+COUNTIF(J15,"İş Kazası veya Meslek Hastalığı Tazminatı")*($BX$18+$BX$18*0.00759)
+COUNTIF(J15,"Temizlik Yardımı")*($BX$19/CM11)</f>
        <v>0</v>
      </c>
      <c r="AV20" s="39">
        <f>COUNTIF(H15,"Yok")*(0)
+COUNTIF(H15,"Askerlik Yardımı")*(0)
+COUNTIF(H15,"Cenaze Yardımı (Anne-Baba)")*($BX$3+$BX$3*0.00759)
+COUNTIF(H15,"Cenaze Yardımı (Eş-Çocuk)")*($BX$4+$BX$4*0.00759)
+COUNTIF(H15,"Cenaze Yardımı (İşçi-İş Kazası Sonucu)")*($BX$5+$BX$5*0.00759)
+COUNTIF(H15,"Cenaze Yardımı (İşçi-Tabii Sebepler Sonucu)")*($BX$6+$BX$6*0.00759)
+COUNTIF(H15,"Çikolata Yardımı")*($BX$7+$BX$7*0.00759)
+COUNTIF(H15,"Doğal Afet Yardımı")*($BX$8+$BX$8*0.00759)
+COUNTIF(H15,"Doğum Yardımı (İşveren)")*($BX$9+$BX$9*0.00759)
+COUNTIF(H15,"Eğitim Yardımı (Çocuk-İlköğretim)")*(0)
+COUNTIF(H15,"Eğitim Yardımı (Çocuk-Ortaöğretim)")*(0)
+COUNTIF(H15,"Eğitim Yardımı (Çocuk-Lise)")*(0)
+COUNTIF(H15,"Eğitim Yardımı (Çocuk-Yükseköğretim)")*(0)
+COUNTIF(H15,"Eğitim Yardımı (İşçi-Lise)")*(0)
+COUNTIF(H15,"Eğitim Yardımı (İşçi-Yükseköğretim)")*(0)
+COUNTIF(H15,"Evlilik Yardımı")*($BX$16+$BX$16*0.00759)
+COUNTIF(H15,"Gıda Yardımı")*(0)
+COUNTIF(H15,"İş Kazası veya Meslek Hastalığı Tazminatı")*($BX$18+$BX$18*0.00759)
+COUNTIF(H15,"Temizlik Yardımı")*(0)
+COUNTIF(I15,"Yok")*(0)
+COUNTIF(I15,"Askerlik Yardımı")*(0)
+COUNTIF(I15,"Cenaze Yardımı (Anne-Baba)")*($BX$3+$BX$3*0.00759)
+COUNTIF(I15,"Cenaze Yardımı (Eş-Çocuk)")*($BX$4+$BX$4*0.00759)
+COUNTIF(I15,"Cenaze Yardımı (İşçi-İş Kazası Sonucu)")*($BX$5+$BX$5*0.00759)
+COUNTIF(I15,"Cenaze Yardımı (İşçi-Tabii Sebepler Sonucu)")*($BX$6+$BX$6*0.00759)
+COUNTIF(I15,"Çikolata Yardımı")*($BX$7+$BX$7*0.00759)
+COUNTIF(I15,"Doğal Afet Yardımı")*($BX$8+$BX$8*0.00759)
+COUNTIF(I15,"Doğum Yardımı (İşveren)")*($BX$9+$BX$9*0.00759)
+COUNTIF(I15,"Eğitim Yardımı (Çocuk-İlköğretim)")*(0)
+COUNTIF(I15,"Eğitim Yardımı (Çocuk-Ortaöğretim)")*(0)
+COUNTIF(I15,"Eğitim Yardımı (Çocuk-Lise)")*(0)
+COUNTIF(I15,"Eğitim Yardımı (Çocuk-Yükseköğretim)")*(0)
+COUNTIF(I15,"Eğitim Yardımı (İşçi-Lise)")*(0)
+COUNTIF(I15,"Eğitim Yardımı (İşçi-Yükseköğretim)")*(0)
+COUNTIF(I15,"Evlilik Yardımı")*($BX$16+$BX$16*0.00759)
+COUNTIF(I15,"Gıda Yardımı")*(0)
+COUNTIF(I15,"İş Kazası veya Meslek Hastalığı Tazminatı")*($BX$18+$BX$18*0.00759)
+COUNTIF(I15,"Temizlik Yardımı")*(0)
+COUNTIF(J15,"Yok")*(0)
+COUNTIF(J15,"Askerlik Yardımı")*(0)
+COUNTIF(J15,"Cenaze Yardımı (Anne-Baba)")*($BX$3+$BX$3*0.00759)
+COUNTIF(J15,"Cenaze Yardımı (Eş-Çocuk)")*($BX$4+$BX$4*0.00759)
+COUNTIF(J15,"Cenaze Yardımı (İşçi-İş Kazası Sonucu)")*($BX$5+$BX$5*0.00759)
+COUNTIF(J15,"Cenaze Yardımı (İşçi-Tabii Sebepler Sonucu)")*($BX$6+$BX$6*0.00759)
+COUNTIF(J15,"Çikolata Yardımı")*($BX$7+$BX$7*0.00759)
+COUNTIF(J15,"Doğal Afet Yardımı")*($BX$8+$BX$8*0.00759)
+COUNTIF(J15,"Doğum Yardımı (İşveren)")*($BX$9+$BX$9*0.00759)
+COUNTIF(J15,"Eğitim Yardımı (Çocuk-İlköğretim)")*(0)
+COUNTIF(J15,"Eğitim Yardımı (Çocuk-Ortaöğretim)")*(0)
+COUNTIF(J15,"Eğitim Yardımı (Çocuk-Lise)")*(0)
+COUNTIF(J15,"Eğitim Yardımı (Çocuk-Yükseköğretim)")*(0)
+COUNTIF(J15,"Eğitim Yardımı (İşçi-Lise)")*(0)
+COUNTIF(J15,"Eğitim Yardımı (İşçi-Yükseköğretim)")*(0)
+COUNTIF(J15,"Evlilik Yardımı")*($BX$16+$BX$16*0.00759)
+COUNTIF(J15,"Gıda Yardımı")*(0)
+COUNTIF(J15,"İş Kazası veya Meslek Hastalığı Tazminatı")*($BX$18+$BX$18*0.00759)
+COUNTIF(J15,"Temizlik Yardımı")*(0)</f>
        <v>0</v>
      </c>
      <c r="AW20" s="39">
        <f>COUNTIF(H15,"Yok")*(0)
+COUNTIF(H15,"Askerlik Yardımı")*($BX$2)
+COUNTIF(H15,"Cenaze Yardımı (Anne-Baba)")*($BX$3)
+COUNTIF(H15,"Cenaze Yardımı (Eş-Çocuk)")*($BX$4)
+COUNTIF(H15,"Cenaze Yardımı (İşçi-İş Kazası Sonucu)")*($BX$5)
+COUNTIF(H15,"Cenaze Yardımı (İşçi-Tabii Sebepler Sonucu)")*($BX$6)
+COUNTIF(H15,"Çikolata Yardımı")*($BX$7)
+COUNTIF(H15,"Doğal Afet Yardımı")*($BX$8)
+COUNTIF(H15,"Doğum Yardımı (İşveren)")*($BX$9)
+COUNTIF(H15,"Eğitim Yardımı (Çocuk-İlköğretim)")*($BX$10)
+COUNTIF(H15,"Eğitim Yardımı (Çocuk-Ortaöğretim)")*($BX$11)
+COUNTIF(H15,"Eğitim Yardımı (Çocuk-Lise)")*($BX$12)
+COUNTIF(H15,"Eğitim Yardımı (Çocuk-Yükseköğretim)")*($BX$13)
+COUNTIF(H15,"Eğitim Yardımı (İşçi-Lise)")*($BX$14)
+COUNTIF(H15,"Eğitim Yardımı (İşçi-Yükseköğretim)")*($BX$15)
+COUNTIF(H15,"Evlilik Yardımı")*($BX$16)
+COUNTIF(H15,"Gıda Yardımı")*($BX$17)
+COUNTIF(H15,"İş Kazası veya Meslek Hastalığı Tazminatı")*($BX$18)
+COUNTIF(H15,"Temizlik Yardımı")*($BX$19)
+COUNTIF(I15,"Yok")*(0)
+COUNTIF(I15,"Askerlik Yardımı")*($BX$2)
+COUNTIF(I15,"Cenaze Yardımı (Anne-Baba)")*($BX$3)
+COUNTIF(I15,"Cenaze Yardımı (Eş-Çocuk)")*($BX$4)
+COUNTIF(I15,"Cenaze Yardımı (İşçi-İş Kazası Sonucu)")*($BX$5)
+COUNTIF(I15,"Cenaze Yardımı (İşçi-Tabii Sebepler Sonucu)")*($BX$6)
+COUNTIF(I15,"Çikolata Yardımı")*($BX$7)
+COUNTIF(I15,"Doğal Afet Yardımı")*($BX$8)
+COUNTIF(I15,"Doğum Yardımı (İşveren)")*($BX$9)
+COUNTIF(I15,"Eğitim Yardımı (Çocuk-İlköğretim)")*($BX$10)
+COUNTIF(I15,"Eğitim Yardımı (Çocuk-Ortaöğretim)")*($BX$11)
+COUNTIF(I15,"Eğitim Yardımı (Çocuk-Lise)")*($BX$12)
+COUNTIF(I15,"Eğitim Yardımı (Çocuk-Yükseköğretim)")*($BX$13)
+COUNTIF(I15,"Eğitim Yardımı (İşçi-Lise)")*($BX$14)
+COUNTIF(I15,"Eğitim Yardımı (İşçi-Yükseköğretim)")*($BX$15)
+COUNTIF(I15,"Evlilik Yardımı")*($BX$16)
+COUNTIF(I15,"Gıda Yardımı")*($BX$17)
+COUNTIF(I15,"İş Kazası veya Meslek Hastalığı Tazminatı")*($BX$18)
+COUNTIF(I15,"Temizlik Yardımı")*($BX$19)
+COUNTIF(J15,"Yok")*(0)
+COUNTIF(J15,"Askerlik Yardımı")*($BX$2)
+COUNTIF(J15,"Cenaze Yardımı (Anne-Baba)")*($BX$3)
+COUNTIF(J15,"Cenaze Yardımı (Eş-Çocuk)")*($BX$4)
+COUNTIF(J15,"Cenaze Yardımı (İşçi-İş Kazası Sonucu)")*($BX$5)
+COUNTIF(J15,"Cenaze Yardımı (İşçi-Tabii Sebepler Sonucu)")*($BX$6)
+COUNTIF(J15,"Çikolata Yardımı")*($BX$7)
+COUNTIF(J15,"Doğal Afet Yardımı")*($BX$8)
+COUNTIF(J15,"Doğum Yardımı (İşveren)")*($BX$9)
+COUNTIF(J15,"Eğitim Yardımı (Çocuk-İlköğretim)")*($BX$10)
+COUNTIF(J15,"Eğitim Yardımı (Çocuk-Ortaöğretim)")*($BX$11)
+COUNTIF(J15,"Eğitim Yardımı (Çocuk-Lise)")*($BX$12)
+COUNTIF(J15,"Eğitim Yardımı (Çocuk-Yükseköğretim)")*($BX$13)
+COUNTIF(J15,"Eğitim Yardımı (İşçi-Lise)")*($BX$14)
+COUNTIF(J15,"Eğitim Yardımı (İşçi-Yükseköğretim)")*($BX$15)
+COUNTIF(J15,"Evlilik Yardımı")*($BX$16)
+COUNTIF(J15,"Gıda Yardımı")*($BX$17)
+COUNTIF(J15,"İş Kazası veya Meslek Hastalığı Tazminatı")*($BX$18)
+COUNTIF(J15,"Temizlik Yardımı")*($BX$19)</f>
        <v>0</v>
      </c>
      <c r="AX20" s="40" t="s">
        <v>12</v>
      </c>
      <c r="AY20" s="38">
        <f>COUNTIF(AX20,"Var")*(AK12*0.9*-1)</f>
        <v>-286.85556914091711</v>
      </c>
      <c r="AZ20" s="38">
        <f>(AY20*-1)</f>
        <v>286.85556914091711</v>
      </c>
      <c r="BA20" s="39">
        <f>COUNTIF(H25,"Yok")*(0)
+COUNTIF(H25,"Askerlik Yardımı")*($BX$2/CM21)
+COUNTIF(H25,"Cenaze Yardımı (Anne-Baba)")*($BX$3+$BX$3*0.00759)
+COUNTIF(H25,"Cenaze Yardımı (Eş-Çocuk)")*($BX$4+$BX$4*0.00759)
+COUNTIF(H25,"Cenaze Yardımı (İşçi-İş Kazası Sonucu)")*($BX$5+$BX$5*0.00759)
+COUNTIF(H25,"Cenaze Yardımı (İşçi-Tabii Sebepler Sonucu)")*($BX$6+$BX$6*0.00759)
+COUNTIF(H25,"Çikolata Yardımı")*($BX$7+$BX$7*0.00759)
+COUNTIF(H25,"Doğal Afet Yardımı")*($BX$8+$BX$8*0.00759)
+COUNTIF(H25,"Doğum Yardımı (İşveren)")*($BX$9+$BX$9*0.00759)
+COUNTIF(H25,"Eğitim Yardımı (Çocuk-İlköğretim)")*($BX$10/CM21)
+COUNTIF(H25,"Eğitim Yardımı (Çocuk-Ortaöğretim)")*($BX$11/CM21)
+COUNTIF(H25,"Eğitim Yardımı (Çocuk-Lise)")*($BX$12/CM21)
+COUNTIF(H25,"Eğitim Yardımı (Çocuk-Yükseköğretim)")*($BX$13/CM21)
+COUNTIF(H25,"Eğitim Yardımı (İşçi-Lise)")*($BX$14/CM21)
+COUNTIF(H25,"Eğitim Yardımı (İşçi-Yükseköğretim)")*($BX$15/CM21)
+COUNTIF(H25,"Evlilik Yardımı")*($BX$16+$BX$16*0.00759)
+COUNTIF(H25,"Gıda Yardımı")*($BX$17/CM21)
+COUNTIF(H25,"İş Kazası veya Meslek Hastalığı Tazminatı")*($BX$18+$BX$18*0.00759)
+COUNTIF(H25,"Temizlik Yardımı")*($BX$19/CM21)
+COUNTIF(I25,"Yok")*(0)
+COUNTIF(I25,"Askerlik Yardımı")*($BX$2/CM21)
+COUNTIF(I25,"Cenaze Yardımı (Anne-Baba)")*($BX$3+$BX$3*0.00759)
+COUNTIF(I25,"Cenaze Yardımı (Eş-Çocuk)")*($BX$4+$BX$4*0.00759)
+COUNTIF(I25,"Cenaze Yardımı (İşçi-İş Kazası Sonucu)")*($BX$5+$BX$5*0.00759)
+COUNTIF(I25,"Cenaze Yardımı (İşçi-Tabii Sebepler Sonucu)")*($BX$6+$BX$6*0.00759)
+COUNTIF(I25,"Çikolata Yardımı")*($BX$7+$BX$7*0.00759)
+COUNTIF(I25,"Doğal Afet Yardımı")*($BX$8+$BX$8*0.00759)
+COUNTIF(I25,"Doğum Yardımı (İşveren)")*($BX$9+$BX$9*0.00759)
+COUNTIF(I25,"Eğitim Yardımı (Çocuk-İlköğretim)")*($BX$10/CM21)
+COUNTIF(I25,"Eğitim Yardımı (Çocuk-Ortaöğretim)")*($BX$11/CM21)
+COUNTIF(I25,"Eğitim Yardımı (Çocuk-Lise)")*($BX$12/CM21)
+COUNTIF(I25,"Eğitim Yardımı (Çocuk-Yükseköğretim)")*($BX$13/CM21)
+COUNTIF(I25,"Eğitim Yardımı (İşçi-Lise)")*($BX$14/CM21)
+COUNTIF(I25,"Eğitim Yardımı (İşçi-Yükseköğretim)")*($BX$15/CM21)
+COUNTIF(I25,"Evlilik Yardımı")*($BX$16+$BX$16*0.00759)
+COUNTIF(I25,"Gıda Yardımı")*($BX$17/CM21)
+COUNTIF(I25,"İş Kazası veya Meslek Hastalığı Tazminatı")*($BX$18+$BX$18*0.00759)
+COUNTIF(I25,"Temizlik Yardımı")*($BX$19/CM21)
+COUNTIF(J25,"Yok")*(0)
+COUNTIF(J25,"Askerlik Yardımı")*($BX$2/CM21)
+COUNTIF(J25,"Cenaze Yardımı (Anne-Baba)")*($BX$3+$BX$3*0.00759)
+COUNTIF(J25,"Cenaze Yardımı (Eş-Çocuk)")*($BX$4+$BX$4*0.00759)
+COUNTIF(J25,"Cenaze Yardımı (İşçi-İş Kazası Sonucu)")*($BX$5+$BX$5*0.00759)
+COUNTIF(J25,"Cenaze Yardımı (İşçi-Tabii Sebepler Sonucu)")*($BX$6+$BX$6*0.00759)
+COUNTIF(J25,"Çikolata Yardımı")*($BX$7+$BX$7*0.00759)
+COUNTIF(J25,"Doğal Afet Yardımı")*($BX$8+$BX$8*0.00759)
+COUNTIF(J25,"Doğum Yardımı (İşveren)")*($BX$9+$BX$9*0.00759)
+COUNTIF(J25,"Eğitim Yardımı (Çocuk-İlköğretim)")*($BX$10/CM21)
+COUNTIF(J25,"Eğitim Yardımı (Çocuk-Ortaöğretim)")*($BX$11/CM21)
+COUNTIF(J25,"Eğitim Yardımı (Çocuk-Lise)")*($BX$12/CM21)
+COUNTIF(J25,"Eğitim Yardımı (Çocuk-Yükseköğretim)")*($BX$13/CM21)
+COUNTIF(J25,"Eğitim Yardımı (İşçi-Lise)")*($BX$14/CM21)
+COUNTIF(J25,"Eğitim Yardımı (İşçi-Yükseköğretim)")*($BX$15/CM21)
+COUNTIF(J25,"Evlilik Yardımı")*($BX$16+$BX$16*0.00759)
+COUNTIF(J25,"Gıda Yardımı")*($BX$17/CM21)
+COUNTIF(J25,"İş Kazası veya Meslek Hastalığı Tazminatı")*($BX$18+$BX$18*0.00759)
+COUNTIF(J25,"Temizlik Yardımı")*($BX$19/CM21)</f>
        <v>0</v>
      </c>
      <c r="BB20" s="39">
        <f>COUNTIF(H25,"Yok")*(0)
+COUNTIF(H25,"Askerlik Yardımı")*(0)
+COUNTIF(H25,"Cenaze Yardımı (Anne-Baba)")*($BX$3+$BX$3*0.00759)
+COUNTIF(H25,"Cenaze Yardımı (Eş-Çocuk)")*($BX$4+$BX$4*0.00759)
+COUNTIF(H25,"Cenaze Yardımı (İşçi-İş Kazası Sonucu)")*($BX$5+$BX$5*0.00759)
+COUNTIF(H25,"Cenaze Yardımı (İşçi-Tabii Sebepler Sonucu)")*($BX$6+$BX$6*0.00759)
+COUNTIF(H25,"Çikolata Yardımı")*($BX$7+$BX$7*0.00759)
+COUNTIF(H25,"Doğal Afet Yardımı")*($BX$8+$BX$8*0.00759)
+COUNTIF(H25,"Doğum Yardımı (İşveren)")*($BX$9+$BX$9*0.00759)
+COUNTIF(H25,"Eğitim Yardımı (Çocuk-İlköğretim)")*(0)
+COUNTIF(H25,"Eğitim Yardımı (Çocuk-Ortaöğretim)")*(0)
+COUNTIF(H25,"Eğitim Yardımı (Çocuk-Lise)")*(0)
+COUNTIF(H25,"Eğitim Yardımı (Çocuk-Yükseköğretim)")*(0)
+COUNTIF(H25,"Eğitim Yardımı (İşçi-Lise)")*(0)
+COUNTIF(H25,"Eğitim Yardımı (İşçi-Yükseköğretim)")*(0)
+COUNTIF(H25,"Evlilik Yardımı")*($BX$16+$BX$16*0.00759)
+COUNTIF(H25,"Gıda Yardımı")*(0)
+COUNTIF(H25,"İş Kazası veya Meslek Hastalığı Tazminatı")*($BX$18+$BX$18*0.00759)
+COUNTIF(H25,"Temizlik Yardımı")*(0)
+COUNTIF(I25,"Yok")*(0)
+COUNTIF(I25,"Askerlik Yardımı")*(0)
+COUNTIF(I25,"Cenaze Yardımı (Anne-Baba)")*($BX$3+$BX$3*0.00759)
+COUNTIF(I25,"Cenaze Yardımı (Eş-Çocuk)")*($BX$4+$BX$4*0.00759)
+COUNTIF(I25,"Cenaze Yardımı (İşçi-İş Kazası Sonucu)")*($BX$5+$BX$5*0.00759)
+COUNTIF(I25,"Cenaze Yardımı (İşçi-Tabii Sebepler Sonucu)")*($BX$6+$BX$6*0.00759)
+COUNTIF(I25,"Çikolata Yardımı")*($BX$7+$BX$7*0.00759)
+COUNTIF(I25,"Doğal Afet Yardımı")*($BX$8+$BX$8*0.00759)
+COUNTIF(I25,"Doğum Yardımı (İşveren)")*($BX$9+$BX$9*0.00759)
+COUNTIF(I25,"Eğitim Yardımı (Çocuk-İlköğretim)")*(0)
+COUNTIF(I25,"Eğitim Yardımı (Çocuk-Ortaöğretim)")*(0)
+COUNTIF(I25,"Eğitim Yardımı (Çocuk-Lise)")*(0)
+COUNTIF(I25,"Eğitim Yardımı (Çocuk-Yükseköğretim)")*(0)
+COUNTIF(I25,"Eğitim Yardımı (İşçi-Lise)")*(0)
+COUNTIF(I25,"Eğitim Yardımı (İşçi-Yükseköğretim)")*(0)
+COUNTIF(I25,"Evlilik Yardımı")*($BX$16+$BX$16*0.00759)
+COUNTIF(I25,"Gıda Yardımı")*(0)
+COUNTIF(I25,"İş Kazası veya Meslek Hastalığı Tazminatı")*($BX$18+$BX$18*0.00759)
+COUNTIF(I25,"Temizlik Yardımı")*(0)
+COUNTIF(J25,"Yok")*(0)
+COUNTIF(J25,"Askerlik Yardımı")*(0)
+COUNTIF(J25,"Cenaze Yardımı (Anne-Baba)")*($BX$3+$BX$3*0.00759)
+COUNTIF(J25,"Cenaze Yardımı (Eş-Çocuk)")*($BX$4+$BX$4*0.00759)
+COUNTIF(J25,"Cenaze Yardımı (İşçi-İş Kazası Sonucu)")*($BX$5+$BX$5*0.00759)
+COUNTIF(J25,"Cenaze Yardımı (İşçi-Tabii Sebepler Sonucu)")*($BX$6+$BX$6*0.00759)
+COUNTIF(J25,"Çikolata Yardımı")*($BX$7+$BX$7*0.00759)
+COUNTIF(J25,"Doğal Afet Yardımı")*($BX$8+$BX$8*0.00759)
+COUNTIF(J25,"Doğum Yardımı (İşveren)")*($BX$9+$BX$9*0.00759)
+COUNTIF(J25,"Eğitim Yardımı (Çocuk-İlköğretim)")*(0)
+COUNTIF(J25,"Eğitim Yardımı (Çocuk-Ortaöğretim)")*(0)
+COUNTIF(J25,"Eğitim Yardımı (Çocuk-Lise)")*(0)
+COUNTIF(J25,"Eğitim Yardımı (Çocuk-Yükseköğretim)")*(0)
+COUNTIF(J25,"Eğitim Yardımı (İşçi-Lise)")*(0)
+COUNTIF(J25,"Eğitim Yardımı (İşçi-Yükseköğretim)")*(0)
+COUNTIF(J25,"Evlilik Yardımı")*($BX$16+$BX$16*0.00759)
+COUNTIF(J25,"Gıda Yardımı")*(0)
+COUNTIF(J25,"İş Kazası veya Meslek Hastalığı Tazminatı")*($BX$18+$BX$18*0.00759)
+COUNTIF(J25,"Temizlik Yardımı")*(0)</f>
        <v>0</v>
      </c>
      <c r="BC20" s="39">
        <f>COUNTIF(H25,"Yok")*(0)
+COUNTIF(H25,"Askerlik Yardımı")*($BX$2)
+COUNTIF(H25,"Cenaze Yardımı (Anne-Baba)")*($BX$3)
+COUNTIF(H25,"Cenaze Yardımı (Eş-Çocuk)")*($BX$4)
+COUNTIF(H25,"Cenaze Yardımı (İşçi-İş Kazası Sonucu)")*($BX$5)
+COUNTIF(H25,"Cenaze Yardımı (İşçi-Tabii Sebepler Sonucu)")*($BX$6)
+COUNTIF(H25,"Çikolata Yardımı")*($BX$7)
+COUNTIF(H25,"Doğal Afet Yardımı")*($BX$8)
+COUNTIF(H25,"Doğum Yardımı (İşveren)")*($BX$9)
+COUNTIF(H25,"Eğitim Yardımı (Çocuk-İlköğretim)")*($BX$10)
+COUNTIF(H25,"Eğitim Yardımı (Çocuk-Ortaöğretim)")*($BX$11)
+COUNTIF(H25,"Eğitim Yardımı (Çocuk-Lise)")*($BX$12)
+COUNTIF(H25,"Eğitim Yardımı (Çocuk-Yükseköğretim)")*($BX$13)
+COUNTIF(H25,"Eğitim Yardımı (İşçi-Lise)")*($BX$14)
+COUNTIF(H25,"Eğitim Yardımı (İşçi-Yükseköğretim)")*($BX$15)
+COUNTIF(H25,"Evlilik Yardımı")*($BX$16)
+COUNTIF(H25,"Gıda Yardımı")*($BX$17)
+COUNTIF(H25,"İş Kazası veya Meslek Hastalığı Tazminatı")*($BX$18)
+COUNTIF(H25,"Temizlik Yardımı")*($BX$19)
+COUNTIF(I25,"Yok")*(0)
+COUNTIF(I25,"Askerlik Yardımı")*($BX$2)
+COUNTIF(I25,"Cenaze Yardımı (Anne-Baba)")*($BX$3)
+COUNTIF(I25,"Cenaze Yardımı (Eş-Çocuk)")*($BX$4)
+COUNTIF(I25,"Cenaze Yardımı (İşçi-İş Kazası Sonucu)")*($BX$5)
+COUNTIF(I25,"Cenaze Yardımı (İşçi-Tabii Sebepler Sonucu)")*($BX$6)
+COUNTIF(I25,"Çikolata Yardımı")*($BX$7)
+COUNTIF(I25,"Doğal Afet Yardımı")*($BX$8)
+COUNTIF(I25,"Doğum Yardımı (İşveren)")*($BX$9)
+COUNTIF(I25,"Eğitim Yardımı (Çocuk-İlköğretim)")*($BX$10)
+COUNTIF(I25,"Eğitim Yardımı (Çocuk-Ortaöğretim)")*($BX$11)
+COUNTIF(I25,"Eğitim Yardımı (Çocuk-Lise)")*($BX$12)
+COUNTIF(I25,"Eğitim Yardımı (Çocuk-Yükseköğretim)")*($BX$13)
+COUNTIF(I25,"Eğitim Yardımı (İşçi-Lise)")*($BX$14)
+COUNTIF(I25,"Eğitim Yardımı (İşçi-Yükseköğretim)")*($BX$15)
+COUNTIF(I25,"Evlilik Yardımı")*($BX$16)
+COUNTIF(I25,"Gıda Yardımı")*($BX$17)
+COUNTIF(I25,"İş Kazası veya Meslek Hastalığı Tazminatı")*($BX$18)
+COUNTIF(I25,"Temizlik Yardımı")*($BX$19)
+COUNTIF(J25,"Yok")*(0)
+COUNTIF(J25,"Askerlik Yardımı")*($BX$2)
+COUNTIF(J25,"Cenaze Yardımı (Anne-Baba)")*($BX$3)
+COUNTIF(J25,"Cenaze Yardımı (Eş-Çocuk)")*($BX$4)
+COUNTIF(J25,"Cenaze Yardımı (İşçi-İş Kazası Sonucu)")*($BX$5)
+COUNTIF(J25,"Cenaze Yardımı (İşçi-Tabii Sebepler Sonucu)")*($BX$6)
+COUNTIF(J25,"Çikolata Yardımı")*($BX$7)
+COUNTIF(J25,"Doğal Afet Yardımı")*($BX$8)
+COUNTIF(J25,"Doğum Yardımı (İşveren)")*($BX$9)
+COUNTIF(J25,"Eğitim Yardımı (Çocuk-İlköğretim)")*($BX$10)
+COUNTIF(J25,"Eğitim Yardımı (Çocuk-Ortaöğretim)")*($BX$11)
+COUNTIF(J25,"Eğitim Yardımı (Çocuk-Lise)")*($BX$12)
+COUNTIF(J25,"Eğitim Yardımı (Çocuk-Yükseköğretim)")*($BX$13)
+COUNTIF(J25,"Eğitim Yardımı (İşçi-Lise)")*($BX$14)
+COUNTIF(J25,"Eğitim Yardımı (İşçi-Yükseköğretim)")*($BX$15)
+COUNTIF(J25,"Evlilik Yardımı")*($BX$16)
+COUNTIF(J25,"Gıda Yardımı")*($BX$17)
+COUNTIF(J25,"İş Kazası veya Meslek Hastalığı Tazminatı")*($BX$18)
+COUNTIF(J25,"Temizlik Yardımı")*($BX$19)</f>
        <v>0</v>
      </c>
      <c r="BD20" s="40" t="s">
        <v>12</v>
      </c>
      <c r="BE20" s="38">
        <f>COUNTIF(BD20,"Var")*(AK25*0.9*-1)</f>
        <v>-314.3659263304092</v>
      </c>
      <c r="BF20" s="38">
        <f>(BE20*-1)</f>
        <v>314.3659263304092</v>
      </c>
      <c r="BH20" s="38">
        <f>COUNTIF($A$1,"1S-Kaptan-Üniversite")*(250/30*AP9)
+COUNTIF($A$1,"1S-Kaptan-MYO")*(250/30*AP9)
+COUNTIF($A$1,"1S-Kaptan-Lise")*(250/30*AP9)
+COUNTIF($A$1,"1S-Kaptan-Ortaokul")*(250/30*AP9)
+COUNTIF($A$1,"1S-Kaptan-İlkokul")*(250/30*AP9)
+COUNTIF($A$1,"1S-Baş Makinist-Üniversite")*(250/30*AP9)
+COUNTIF($A$1,"1S-Baş Makinist-MYO")*(250/30*AP9)
+COUNTIF($A$1,"1S-Baş Makinist-Lise")*(250/30*AP9)
+COUNTIF($A$1,"1S-Baş Makinist-Ortaokul")*(250/30*AP9)
+COUNTIF($A$1,"1S-Baş Makinist-İlkokul")*(250/30*AP9)
+COUNTIF($A$1,"1S-İkinci Kaptan-Üniversite")*(250/30*AP9)
+COUNTIF($A$1,"1S-İkinci Kaptan-MYO")*(250/30*AP9)
+COUNTIF($A$1,"1S-İkinci Kaptan-Lise")*(250/30*AP9)
+COUNTIF($A$1,"1S-İkinci Kaptan-Ortaokul")*(250/30*AP9)
+COUNTIF($A$1,"1S-İkinci Kaptan-İlkokul")*(250/30*AP9)
+COUNTIF($A$1,"2S-Kaptan-Üniversite")*(250/30*AP9)
+COUNTIF($A$1,"2S-Kaptan-MYO")*(250/30*AP9)
+COUNTIF($A$1,"2S-Kaptan-Lise")*(250/30*AP9)
+COUNTIF($A$1,"2S-Kaptan-Ortaokul")*(250/30*AP9)
+COUNTIF($A$1,"2S-Kaptan-İlkokul")*(250/30*AP9)
+COUNTIF($A$1,"2S-Baş Makinist-Üniversite")*(250/30*AP9)
+COUNTIF($A$1,"2S-Baş Makinist-MYO")*(250/30*AP9)
+COUNTIF($A$1,"2S-Baş Makinist-Lise")*(250/30*AP9)
+COUNTIF($A$1,"2S-Baş Makinist-Ortaokul")*(250/30*AP9)
+COUNTIF($A$1,"2S-Baş Makinist-İlkokul")*(250/30*AP9)
+COUNTIF($A$1,"2S-İkinci Kaptan-Üniversite")*(250/30*AP9)
+COUNTIF($A$1,"2S-İkinci Kaptan-MYO")*(250/30*AP9)
+COUNTIF($A$1,"2S-İkinci Kaptan-Lise")*(250/30*AP9)
+COUNTIF($A$1,"2S-İkinci Kaptan-Ortaokul")*(250/30*AP9)
+COUNTIF($A$1,"2S-İkinci Kaptan-İlkokul")*(250/30*AP9)</f>
        <v>250.00000000000003</v>
      </c>
      <c r="BJ20" s="38">
        <f t="shared" si="80"/>
        <v>0</v>
      </c>
      <c r="BK20" s="38">
        <f t="shared" si="81"/>
        <v>0</v>
      </c>
      <c r="BL20" s="36" t="s">
        <v>0</v>
      </c>
      <c r="BM20" s="38">
        <f t="shared" si="5"/>
        <v>396.73</v>
      </c>
      <c r="BN20" s="38">
        <f t="shared" si="86"/>
        <v>393.71881930000001</v>
      </c>
      <c r="BO20" s="38">
        <f t="shared" si="87"/>
        <v>396.73</v>
      </c>
      <c r="BU20" s="38">
        <f t="shared" ca="1" si="88"/>
        <v>-1983.3196835564302</v>
      </c>
      <c r="BV20" s="38">
        <f t="shared" ca="1" si="89"/>
        <v>-141.66569168260213</v>
      </c>
      <c r="BW20" s="52" t="s">
        <v>0</v>
      </c>
      <c r="BX20" s="52" t="s">
        <v>0</v>
      </c>
      <c r="BY20" s="38">
        <f t="shared" ref="BY20" si="102">(BY19/12)</f>
        <v>0</v>
      </c>
      <c r="BZ20" s="38">
        <f t="shared" ref="BZ20" si="103">(BZ19/12)</f>
        <v>4876.8749999999991</v>
      </c>
      <c r="CA20" s="36" t="s">
        <v>0</v>
      </c>
      <c r="CB20" s="36" t="s">
        <v>0</v>
      </c>
      <c r="CC20" s="36" t="s">
        <v>0</v>
      </c>
      <c r="CD20" s="38">
        <f t="shared" ref="CD20" si="104">(CD8+CD9+CD10+CD11+CD12+CD13+CD14+CD15+CD16+CD17+CD18+CD19)</f>
        <v>3552.3082584489744</v>
      </c>
      <c r="CE20" s="38">
        <f t="shared" ref="CE20" ca="1" si="105">(CE8+CE9+CE10+CE11+CE12+CE13+CE14+CE15+CE16+CE17+CE18+CE19)</f>
        <v>191468.07269551771</v>
      </c>
      <c r="CF20" s="36" t="s">
        <v>0</v>
      </c>
      <c r="CG20" s="42" t="s">
        <v>0</v>
      </c>
      <c r="CH20" s="42" t="s">
        <v>0</v>
      </c>
      <c r="CI20" s="42" t="s">
        <v>0</v>
      </c>
      <c r="CJ20" s="38">
        <f>(0)</f>
        <v>0</v>
      </c>
      <c r="CK20" s="38">
        <f>(0)</f>
        <v>0</v>
      </c>
      <c r="CL20" s="38">
        <f t="shared" si="59"/>
        <v>0</v>
      </c>
      <c r="CM20" s="44">
        <f t="shared" si="70"/>
        <v>0.84240999999999999</v>
      </c>
      <c r="CN20" s="44">
        <f t="shared" si="60"/>
        <v>0.84240999999999999</v>
      </c>
      <c r="CO20" s="44">
        <f t="shared" si="61"/>
        <v>0.99241000000000001</v>
      </c>
      <c r="CP20" s="38">
        <f ca="1">(CX24)</f>
        <v>-134.99547557576116</v>
      </c>
      <c r="CQ20" s="38">
        <f>(BE10+AH16+BD3+BH5)</f>
        <v>655.53</v>
      </c>
      <c r="CR20" s="38">
        <f ca="1">(CW24-CQ20)</f>
        <v>17130.435161496858</v>
      </c>
      <c r="CS20" s="38">
        <f ca="1">IF(CR20&gt;=AY25*7.5,AY25*7.5,CR20)</f>
        <v>17130.435161496858</v>
      </c>
      <c r="DF20" s="42">
        <v>18</v>
      </c>
      <c r="DG20" s="46">
        <v>9</v>
      </c>
      <c r="DH20" s="47">
        <v>0.2</v>
      </c>
      <c r="DI20" s="55"/>
    </row>
    <row r="21" spans="1:113" ht="39.950000000000003" customHeight="1" x14ac:dyDescent="0.25">
      <c r="A21" s="5">
        <f t="shared" si="79"/>
        <v>0</v>
      </c>
      <c r="B21" s="6" t="s">
        <v>19</v>
      </c>
      <c r="C21" s="14">
        <v>0</v>
      </c>
      <c r="D21" s="15">
        <v>40</v>
      </c>
      <c r="E21" s="15">
        <v>0</v>
      </c>
      <c r="F21" s="14">
        <v>20</v>
      </c>
      <c r="G21" s="14">
        <v>0</v>
      </c>
      <c r="H21" s="16" t="s">
        <v>1</v>
      </c>
      <c r="I21" s="16" t="s">
        <v>1</v>
      </c>
      <c r="J21" s="16" t="s">
        <v>1</v>
      </c>
      <c r="K21" s="17">
        <v>0</v>
      </c>
      <c r="L21" s="7">
        <f ca="1">(CW21-BM21+BK2+BG23+CP17+BU23+BV23+CL17-M21)</f>
        <v>9451.9438425556509</v>
      </c>
      <c r="M21" s="7">
        <f ca="1">(AW7+AY7+BA7+BH23)</f>
        <v>2705.25</v>
      </c>
      <c r="N21" s="8">
        <f t="shared" ca="1" si="82"/>
        <v>12157.193842555651</v>
      </c>
      <c r="O21" s="21" t="s">
        <v>46</v>
      </c>
      <c r="P21" s="19">
        <f t="shared" ca="1" si="69"/>
        <v>43133.647411714395</v>
      </c>
      <c r="Q21" s="19">
        <f ca="1">COUNTIF(R1,"Ocak")*(CR1-N15)
+COUNTIF(R1,"Şubat")*(CR2-N16)
+COUNTIF(R1,"Mart")*(CR3-N17)
+COUNTIF(R1,"Nisan")*(CR4-N18)
+COUNTIF(R1,"Mayıs")*(CR5-N19)
+COUNTIF(R1,"Haziran")*(CR6-N20)
+COUNTIF(R1,"Temmuz")*(CW21-N21)
+COUNTIF(R1,"Ağustos")*(CW22-N22)
+COUNTIF(R1,"Eylül")*(CW23-N23)
+COUNTIF(R1,"Ekim")*(CW24-N24)
+COUNTIF(R1,"Kasım")*(CQ7-N25)
+COUNTIF(R1,"Aralık")*(CQ8-N26)
+COUNTIF(R1,"Yıllık Toplam")*(CQ9-N27)*-1
+COUNTIF(R1,"Yıllık Ortalama")*(CQ10-N28)*-1</f>
        <v>-43133.647411714395</v>
      </c>
      <c r="R21" s="72"/>
      <c r="S21" s="71"/>
      <c r="T21" s="21" t="s">
        <v>0</v>
      </c>
      <c r="U21" s="26" t="s">
        <v>0</v>
      </c>
      <c r="V21" s="60"/>
      <c r="W21" s="61"/>
      <c r="X21" s="63"/>
      <c r="Y21" s="62"/>
      <c r="Z21" s="30"/>
      <c r="AA21" s="52" t="s">
        <v>108</v>
      </c>
      <c r="AB21" s="38">
        <v>206</v>
      </c>
      <c r="AC21" s="38">
        <v>209.07</v>
      </c>
      <c r="AD21" s="38">
        <v>209.07</v>
      </c>
      <c r="AE21" s="34">
        <f>(AF3+1)</f>
        <v>44743</v>
      </c>
      <c r="AF21" s="34">
        <f t="shared" ref="AF21:AF26" si="106">EOMONTH(AE21,0)</f>
        <v>44773</v>
      </c>
      <c r="AG21" s="35">
        <f t="shared" ref="AG21:AG26" si="107">DAY(AF21)</f>
        <v>31</v>
      </c>
      <c r="AH21" s="35">
        <f t="shared" ref="AH21:AH26" si="108">NETWORKDAYS.INTL(AE21,AF21,11)</f>
        <v>26</v>
      </c>
      <c r="AI21" s="35">
        <f t="shared" ref="AI21:AI26" si="109">(AG21-AH21)</f>
        <v>5</v>
      </c>
      <c r="AJ21" s="36" t="s">
        <v>0</v>
      </c>
      <c r="AK21" s="33">
        <f t="shared" ref="AK21:AK26" si="110">(AL21/CM17)</f>
        <v>318.72841015657457</v>
      </c>
      <c r="AL21" s="33">
        <f>COUNTIF($A$1,"1S-Kaptan-Üniversite")*($AC$1)
+COUNTIF($A$1,"1S-Kaptan-MYO")*($AC$2)
+COUNTIF($A$1,"1S-Kaptan-Lise")*($AC$3)
+COUNTIF($A$1,"1S-Kaptan-Ortaokul")*($AC$4)
+COUNTIF($A$1,"1S-Kaptan-İlkokul")*($AC$5)
+COUNTIF($A$1,"1S-Baş Makinist-Üniversite")*($AC$6)
+COUNTIF($A$1,"1S-Baş Makinist-MYO")*($AC$7)
+COUNTIF($A$1,"1S-Baş Makinist-Lise")*($AC$8)
+COUNTIF($A$1,"1S-Baş Makinist-Ortaokul")*($AC$9)
+COUNTIF($A$1,"1S-Baş Makinist-İlkokul")*($AC$10)
+COUNTIF($A$1,"1S-İkinci Kaptan-Üniversite")*($AC$11)
+COUNTIF($A$1,"1S-İkinci Kaptan-MYO")*($AC$12)
+COUNTIF($A$1,"1S-İkinci Kaptan-Lise")*($AC$13)
+COUNTIF($A$1,"1S-İkinci Kaptan-Ortaokul")*($AC$14)
+COUNTIF($A$1,"1S-İkinci Kaptan-İlkokul")*($AC$15)
+COUNTIF($A$1,"1S-Usta Gemici-Üniversite")*($AC$16)
+COUNTIF($A$1,"1S-Usta Gemici-MYO")*($AC$17)
+COUNTIF($A$1,"1S-Usta Gemici-Lise")*($AC$18)
+COUNTIF($A$1,"1S-Usta Gemici-Ortaokul")*($AC$19)
+COUNTIF($A$1,"1S-Usta Gemici-İlkokul")*($AC$20)
+COUNTIF($A$1,"1S-Yağcı-Üniversite")*($AC$21)
+COUNTIF($A$1,"1S-Yağcı-MYO")*($AC$22)
+COUNTIF($A$1,"1S-Yağcı-Lise")*($AC$23)
+COUNTIF($A$1,"1S-Yağcı-Ortaokul")*($AC$24)
+COUNTIF($A$1,"1S-Yağcı-İlkokul")*($AC$25)
+COUNTIF($A$1,"2S-Kaptan-Üniversite")*($AC$26)
+COUNTIF($A$1,"2S-Kaptan-MYO")*($AC$27)
+COUNTIF($A$1,"2S-Kaptan-Lise")*($AC$28)
+COUNTIF($A$1,"2S-Kaptan-Ortaokul")*($AC$29)
+COUNTIF($A$1,"2S-Kaptan-İlkokul")*($AC$30)
+COUNTIF($A$1,"2S-Baş Makinist-Üniversite")*($AC$31)
+COUNTIF($A$1,"2S-Baş Makinist-MYO")*($AC$32)
+COUNTIF($A$1,"2S-Baş Makinist-Lise")*($AC$33)
+COUNTIF($A$1,"2S-Baş Makinist-Ortaokul")*($AC$34)
+COUNTIF($A$1,"2S-Baş Makinist-İlkokul")*($AC$35)
+COUNTIF($A$1,"2S-İkinci Kaptan-Üniversite")*($AC$36)
+COUNTIF($A$1,"2S-İkinci Kaptan-MYO")*($AC$37)
+COUNTIF($A$1,"2S-İkinci Kaptan-Lise")*($AC$38)
+COUNTIF($A$1,"2S-İkinci Kaptan-Ortaokul")*($AC$39)
+COUNTIF($A$1,"2S-İkinci Kaptan-İlkokul")*($AC$40)
+COUNTIF($A$1,"2S-Usta Gemici-Üniversite")*($AC$41)
+COUNTIF($A$1,"2S-Usta Gemici-MYO")*($AC$42)
+COUNTIF($A$1,"2S-Usta Gemici-Lise")*($AC$43)
+COUNTIF($A$1,"2S-Usta Gemici-Ortaokul")*($AC$44)
+COUNTIF($A$1,"2S-Usta Gemici-İlkokul")*($AC$45)
+COUNTIF($A$1,"2S-Yağcı-Üniversite")*($AC$46)
+COUNTIF($A$1,"2S-Yağcı-MYO")*($AC$47)
+COUNTIF($A$1,"2S-Yağcı-Lise")*($AC$48)
+COUNTIF($A$1,"2S-Yağcı-Ortaokul")*($AC$49)
+COUNTIF($A$1,"2S-Yağcı-İlkokul")*($AC$50)
+COUNTIF($A$1,"2S-Gemici-Üniversite")*($AC$51)
+COUNTIF($A$1,"2S-Gemici-MYO")*($AC$52)
+COUNTIF($A$1,"2S-Gemici-Lise")*($AC$53)
+COUNTIF($A$1,"2S-Gemici-Ortaokul")*($AC$54)
+COUNTIF($A$1,"2S-Gemici-İlkokul")*($AC$55)
+COUNTIF($A$1,"2S-Gemi Salon Sorumlusu-Üniversite")*($AC$56)
+COUNTIF($A$1,"2S-Gemi Salon Sorumlusu-MYO")*($AC$57)
+COUNTIF($A$1,"2S-Gemi Salon Sorumlusu-Lise")*($AC$58)
+COUNTIF($A$1,"2S-Gemi Salon Sorumlusu-Ortaokul")*($AC$59)
+COUNTIF($A$1,"2S-Gemi Salon Sorumlusu-İlkokul")*($AC$60)</f>
        <v>268.5</v>
      </c>
      <c r="AM21" s="33">
        <f t="shared" ref="AM21:AM26" si="111">(AN21/CM17)</f>
        <v>318.72841015657457</v>
      </c>
      <c r="AN21" s="33">
        <f>COUNTIF($A$1,"1S-Kaptan-Üniversite")*($AC$1)
+COUNTIF($A$1,"1S-Kaptan-MYO")*($AC$2)
+COUNTIF($A$1,"1S-Kaptan-Lise")*($AC$3)
+COUNTIF($A$1,"1S-Kaptan-Ortaokul")*($AC$4)
+COUNTIF($A$1,"1S-Kaptan-İlkokul")*($AC$5)
+COUNTIF($A$1,"1S-Baş Makinist-Üniversite")*($AC$6)
+COUNTIF($A$1,"1S-Baş Makinist-MYO")*($AC$7)
+COUNTIF($A$1,"1S-Baş Makinist-Lise")*($AC$8)
+COUNTIF($A$1,"1S-Baş Makinist-Ortaokul")*($AC$9)
+COUNTIF($A$1,"1S-Baş Makinist-İlkokul")*($AC$10)
+COUNTIF($A$1,"1S-İkinci Kaptan-Üniversite")*($AC$11)
+COUNTIF($A$1,"1S-İkinci Kaptan-MYO")*($AC$12)
+COUNTIF($A$1,"1S-İkinci Kaptan-Lise")*($AC$13)
+COUNTIF($A$1,"1S-İkinci Kaptan-Ortaokul")*($AC$14)
+COUNTIF($A$1,"1S-İkinci Kaptan-İlkokul")*($AC$15)
+COUNTIF($A$1,"1S-Usta Gemici-Üniversite")*($AC$16)
+COUNTIF($A$1,"1S-Usta Gemici-MYO")*($AC$17)
+COUNTIF($A$1,"1S-Usta Gemici-Lise")*($AC$18)
+COUNTIF($A$1,"1S-Usta Gemici-Ortaokul")*($AC$19)
+COUNTIF($A$1,"1S-Usta Gemici-İlkokul")*($AC$20)
+COUNTIF($A$1,"1S-Yağcı-Üniversite")*($AC$21)
+COUNTIF($A$1,"1S-Yağcı-MYO")*($AC$22)
+COUNTIF($A$1,"1S-Yağcı-Lise")*($AC$23)
+COUNTIF($A$1,"1S-Yağcı-Ortaokul")*($AC$24)
+COUNTIF($A$1,"1S-Yağcı-İlkokul")*($AC$25)
+COUNTIF($A$1,"2S-Kaptan-Üniversite")*($AC$26)
+COUNTIF($A$1,"2S-Kaptan-MYO")*($AC$27)
+COUNTIF($A$1,"2S-Kaptan-Lise")*($AC$28)
+COUNTIF($A$1,"2S-Kaptan-Ortaokul")*($AC$29)
+COUNTIF($A$1,"2S-Kaptan-İlkokul")*($AC$30)
+COUNTIF($A$1,"2S-Baş Makinist-Üniversite")*($AC$31)
+COUNTIF($A$1,"2S-Baş Makinist-MYO")*($AC$32)
+COUNTIF($A$1,"2S-Baş Makinist-Lise")*($AC$33)
+COUNTIF($A$1,"2S-Baş Makinist-Ortaokul")*($AC$34)
+COUNTIF($A$1,"2S-Baş Makinist-İlkokul")*($AC$35)
+COUNTIF($A$1,"2S-İkinci Kaptan-Üniversite")*($AC$36)
+COUNTIF($A$1,"2S-İkinci Kaptan-MYO")*($AC$37)
+COUNTIF($A$1,"2S-İkinci Kaptan-Lise")*($AC$38)
+COUNTIF($A$1,"2S-İkinci Kaptan-Ortaokul")*($AC$39)
+COUNTIF($A$1,"2S-İkinci Kaptan-İlkokul")*($AC$40)
+COUNTIF($A$1,"2S-Usta Gemici-Üniversite")*($AC$41)
+COUNTIF($A$1,"2S-Usta Gemici-MYO")*($AC$42)
+COUNTIF($A$1,"2S-Usta Gemici-Lise")*($AC$43)
+COUNTIF($A$1,"2S-Usta Gemici-Ortaokul")*($AC$44)
+COUNTIF($A$1,"2S-Usta Gemici-İlkokul")*($AC$45)
+COUNTIF($A$1,"2S-Yağcı-Üniversite")*($AC$46)
+COUNTIF($A$1,"2S-Yağcı-MYO")*($AC$47)
+COUNTIF($A$1,"2S-Yağcı-Lise")*($AC$48)
+COUNTIF($A$1,"2S-Yağcı-Ortaokul")*($AC$49)
+COUNTIF($A$1,"2S-Yağcı-İlkokul")*($AC$50)
+COUNTIF($A$1,"2S-Gemici-Üniversite")*($AC$51)
+COUNTIF($A$1,"2S-Gemici-MYO")*($AC$52)
+COUNTIF($A$1,"2S-Gemici-Lise")*($AC$53)
+COUNTIF($A$1,"2S-Gemici-Ortaokul")*($AC$54)
+COUNTIF($A$1,"2S-Gemici-İlkokul")*($AC$55)
+COUNTIF($A$1,"2S-Gemi Salon Sorumlusu-Üniversite")*($AC$56)
+COUNTIF($A$1,"2S-Gemi Salon Sorumlusu-MYO")*($AC$57)
+COUNTIF($A$1,"2S-Gemi Salon Sorumlusu-Lise")*($AC$58)
+COUNTIF($A$1,"2S-Gemi Salon Sorumlusu-Ortaokul")*($AC$59)
+COUNTIF($A$1,"2S-Gemi Salon Sorumlusu-İlkokul")*($AC$60)</f>
        <v>268.5</v>
      </c>
      <c r="AO21" s="33">
        <f t="shared" ref="AO21:AO26" si="112">(AP21/CM17)</f>
        <v>318.72841015657457</v>
      </c>
      <c r="AP21" s="33">
        <f>COUNTIF($A$1,"1S-Kaptan-Üniversite")*($AC$1)
+COUNTIF($A$1,"1S-Kaptan-MYO")*($AC$2)
+COUNTIF($A$1,"1S-Kaptan-Lise")*($AC$3)
+COUNTIF($A$1,"1S-Kaptan-Ortaokul")*($AC$4)
+COUNTIF($A$1,"1S-Kaptan-İlkokul")*($AC$5)
+COUNTIF($A$1,"1S-Baş Makinist-Üniversite")*($AC$6)
+COUNTIF($A$1,"1S-Baş Makinist-MYO")*($AC$7)
+COUNTIF($A$1,"1S-Baş Makinist-Lise")*($AC$8)
+COUNTIF($A$1,"1S-Baş Makinist-Ortaokul")*($AC$9)
+COUNTIF($A$1,"1S-Baş Makinist-İlkokul")*($AC$10)
+COUNTIF($A$1,"1S-İkinci Kaptan-Üniversite")*($AC$11)
+COUNTIF($A$1,"1S-İkinci Kaptan-MYO")*($AC$12)
+COUNTIF($A$1,"1S-İkinci Kaptan-Lise")*($AC$13)
+COUNTIF($A$1,"1S-İkinci Kaptan-Ortaokul")*($AC$14)
+COUNTIF($A$1,"1S-İkinci Kaptan-İlkokul")*($AC$15)
+COUNTIF($A$1,"1S-Usta Gemici-Üniversite")*($AC$16)
+COUNTIF($A$1,"1S-Usta Gemici-MYO")*($AC$17)
+COUNTIF($A$1,"1S-Usta Gemici-Lise")*($AC$18)
+COUNTIF($A$1,"1S-Usta Gemici-Ortaokul")*($AC$19)
+COUNTIF($A$1,"1S-Usta Gemici-İlkokul")*($AC$20)
+COUNTIF($A$1,"1S-Yağcı-Üniversite")*($AC$21)
+COUNTIF($A$1,"1S-Yağcı-MYO")*($AC$22)
+COUNTIF($A$1,"1S-Yağcı-Lise")*($AC$23)
+COUNTIF($A$1,"1S-Yağcı-Ortaokul")*($AC$24)
+COUNTIF($A$1,"1S-Yağcı-İlkokul")*($AC$25)
+COUNTIF($A$1,"2S-Kaptan-Üniversite")*($AC$26)
+COUNTIF($A$1,"2S-Kaptan-MYO")*($AC$27)
+COUNTIF($A$1,"2S-Kaptan-Lise")*($AC$28)
+COUNTIF($A$1,"2S-Kaptan-Ortaokul")*($AC$29)
+COUNTIF($A$1,"2S-Kaptan-İlkokul")*($AC$30)
+COUNTIF($A$1,"2S-Baş Makinist-Üniversite")*($AC$31)
+COUNTIF($A$1,"2S-Baş Makinist-MYO")*($AC$32)
+COUNTIF($A$1,"2S-Baş Makinist-Lise")*($AC$33)
+COUNTIF($A$1,"2S-Baş Makinist-Ortaokul")*($AC$34)
+COUNTIF($A$1,"2S-Baş Makinist-İlkokul")*($AC$35)
+COUNTIF($A$1,"2S-İkinci Kaptan-Üniversite")*($AC$36)
+COUNTIF($A$1,"2S-İkinci Kaptan-MYO")*($AC$37)
+COUNTIF($A$1,"2S-İkinci Kaptan-Lise")*($AC$38)
+COUNTIF($A$1,"2S-İkinci Kaptan-Ortaokul")*($AC$39)
+COUNTIF($A$1,"2S-İkinci Kaptan-İlkokul")*($AC$40)
+COUNTIF($A$1,"2S-Usta Gemici-Üniversite")*($AC$41)
+COUNTIF($A$1,"2S-Usta Gemici-MYO")*($AC$42)
+COUNTIF($A$1,"2S-Usta Gemici-Lise")*($AC$43)
+COUNTIF($A$1,"2S-Usta Gemici-Ortaokul")*($AC$44)
+COUNTIF($A$1,"2S-Usta Gemici-İlkokul")*($AC$45)
+COUNTIF($A$1,"2S-Yağcı-Üniversite")*($AC$46)
+COUNTIF($A$1,"2S-Yağcı-MYO")*($AC$47)
+COUNTIF($A$1,"2S-Yağcı-Lise")*($AC$48)
+COUNTIF($A$1,"2S-Yağcı-Ortaokul")*($AC$49)
+COUNTIF($A$1,"2S-Yağcı-İlkokul")*($AC$50)
+COUNTIF($A$1,"2S-Gemici-Üniversite")*($AC$51)
+COUNTIF($A$1,"2S-Gemici-MYO")*($AC$52)
+COUNTIF($A$1,"2S-Gemici-Lise")*($AC$53)
+COUNTIF($A$1,"2S-Gemici-Ortaokul")*($AC$54)
+COUNTIF($A$1,"2S-Gemici-İlkokul")*($AC$55)
+COUNTIF($A$1,"2S-Gemi Salon Sorumlusu-Üniversite")*($AC$56)
+COUNTIF($A$1,"2S-Gemi Salon Sorumlusu-MYO")*($AC$57)
+COUNTIF($A$1,"2S-Gemi Salon Sorumlusu-Lise")*($AC$58)
+COUNTIF($A$1,"2S-Gemi Salon Sorumlusu-Ortaokul")*($AC$59)
+COUNTIF($A$1,"2S-Gemi Salon Sorumlusu-İlkokul")*($AC$60)</f>
        <v>268.5</v>
      </c>
      <c r="AQ21" s="36" t="s">
        <v>0</v>
      </c>
      <c r="AR21" s="37">
        <f t="shared" ref="AR21:AR26" si="113">(AS21/CM17)</f>
        <v>9880.5807148538115</v>
      </c>
      <c r="AS21" s="38">
        <f t="shared" ref="AS21:AS26" si="114">(AP21*AG21)</f>
        <v>8323.5</v>
      </c>
      <c r="AT21" s="50">
        <v>30</v>
      </c>
      <c r="AU21" s="39">
        <f>COUNTIF(H16,"Yok")*(0)
+COUNTIF(H16,"Askerlik Yardımı")*($BX$2/CM12)
+COUNTIF(H16,"Cenaze Yardımı (Anne-Baba)")*($BX$3+$BX$3*0.00759)
+COUNTIF(H16,"Cenaze Yardımı (Eş-Çocuk)")*($BX$4+$BX$4*0.00759)
+COUNTIF(H16,"Cenaze Yardımı (İşçi-İş Kazası Sonucu)")*($BX$5+$BX$5*0.00759)
+COUNTIF(H16,"Cenaze Yardımı (İşçi-Tabii Sebepler Sonucu)")*($BX$6+$BX$6*0.00759)
+COUNTIF(H16,"Çikolata Yardımı")*($BX$7+$BX$7*0.00759)
+COUNTIF(H16,"Doğal Afet Yardımı")*($BX$8+$BX$8*0.00759)
+COUNTIF(H16,"Doğum Yardımı (İşveren)")*($BX$9+$BX$9*0.00759)
+COUNTIF(H16,"Eğitim Yardımı (Çocuk-İlköğretim)")*($BX$10/CM12)
+COUNTIF(H16,"Eğitim Yardımı (Çocuk-Ortaöğretim)")*($BX$11/CM12)
+COUNTIF(H16,"Eğitim Yardımı (Çocuk-Lise)")*($BX$12/CM12)
+COUNTIF(H16,"Eğitim Yardımı (Çocuk-Yükseköğretim)")*($BX$13/CM12)
+COUNTIF(H16,"Eğitim Yardımı (İşçi-Lise)")*($BX$14/CM12)
+COUNTIF(H16,"Eğitim Yardımı (İşçi-Yükseköğretim)")*($BX$15/CM12)
+COUNTIF(H16,"Evlilik Yardımı")*($BX$16+$BX$16*0.00759)
+COUNTIF(H16,"Gıda Yardımı")*($BX$17/CM12)
+COUNTIF(H16,"İş Kazası veya Meslek Hastalığı Tazminatı")*($BX$18+$BX$18*0.00759)
+COUNTIF(H16,"Temizlik Yardımı")*($BX$19/CM12)
+COUNTIF(I16,"Yok")*(0)
+COUNTIF(I16,"Askerlik Yardımı")*($BX$2/CM12)
+COUNTIF(I16,"Cenaze Yardımı (Anne-Baba)")*($BX$3+$BX$3*0.00759)
+COUNTIF(I16,"Cenaze Yardımı (Eş-Çocuk)")*($BX$4+$BX$4*0.00759)
+COUNTIF(I16,"Cenaze Yardımı (İşçi-İş Kazası Sonucu)")*($BX$5+$BX$5*0.00759)
+COUNTIF(I16,"Cenaze Yardımı (İşçi-Tabii Sebepler Sonucu)")*($BX$6+$BX$6*0.00759)
+COUNTIF(I16,"Çikolata Yardımı")*($BX$7+$BX$7*0.00759)
+COUNTIF(I16,"Doğal Afet Yardımı")*($BX$8+$BX$8*0.00759)
+COUNTIF(I16,"Doğum Yardımı (İşveren)")*($BX$9+$BX$9*0.00759)
+COUNTIF(I16,"Eğitim Yardımı (Çocuk-İlköğretim)")*($BX$10/CM12)
+COUNTIF(I16,"Eğitim Yardımı (Çocuk-Ortaöğretim)")*($BX$11/CM12)
+COUNTIF(I16,"Eğitim Yardımı (Çocuk-Lise)")*($BX$12/CM12)
+COUNTIF(I16,"Eğitim Yardımı (Çocuk-Yükseköğretim)")*($BX$13/CM12)
+COUNTIF(I16,"Eğitim Yardımı (İşçi-Lise)")*($BX$14/CM12)
+COUNTIF(I16,"Eğitim Yardımı (İşçi-Yükseköğretim)")*($BX$15/CM12)
+COUNTIF(I16,"Evlilik Yardımı")*($BX$16+$BX$16*0.00759)
+COUNTIF(I16,"Gıda Yardımı")*($BX$17/CM12)
+COUNTIF(I16,"İş Kazası veya Meslek Hastalığı Tazminatı")*($BX$18+$BX$18*0.00759)
+COUNTIF(I16,"Temizlik Yardımı")*($BX$19/CM12)
+COUNTIF(J16,"Yok")*(0)
+COUNTIF(J16,"Askerlik Yardımı")*($BX$2/CM12)
+COUNTIF(J16,"Cenaze Yardımı (Anne-Baba)")*($BX$3+$BX$3*0.00759)
+COUNTIF(J16,"Cenaze Yardımı (Eş-Çocuk)")*($BX$4+$BX$4*0.00759)
+COUNTIF(J16,"Cenaze Yardımı (İşçi-İş Kazası Sonucu)")*($BX$5+$BX$5*0.00759)
+COUNTIF(J16,"Cenaze Yardımı (İşçi-Tabii Sebepler Sonucu)")*($BX$6+$BX$6*0.00759)
+COUNTIF(J16,"Çikolata Yardımı")*($BX$7+$BX$7*0.00759)
+COUNTIF(J16,"Doğal Afet Yardımı")*($BX$8+$BX$8*0.00759)
+COUNTIF(J16,"Doğum Yardımı (İşveren)")*($BX$9+$BX$9*0.00759)
+COUNTIF(J16,"Eğitim Yardımı (Çocuk-İlköğretim)")*($BX$10/CM12)
+COUNTIF(J16,"Eğitim Yardımı (Çocuk-Ortaöğretim)")*($BX$11/CM12)
+COUNTIF(J16,"Eğitim Yardımı (Çocuk-Lise)")*($BX$12/CM12)
+COUNTIF(J16,"Eğitim Yardımı (Çocuk-Yükseköğretim)")*($BX$13/CM12)
+COUNTIF(J16,"Eğitim Yardımı (İşçi-Lise)")*($BX$14/CM12)
+COUNTIF(J16,"Eğitim Yardımı (İşçi-Yükseköğretim)")*($BX$15/CM12)
+COUNTIF(J16,"Evlilik Yardımı")*($BX$16+$BX$16*0.00759)
+COUNTIF(J16,"Gıda Yardımı")*($BX$17/CM12)
+COUNTIF(J16,"İş Kazası veya Meslek Hastalığı Tazminatı")*($BX$18+$BX$18*0.00759)
+COUNTIF(J16,"Temizlik Yardımı")*($BX$19/CM12)</f>
        <v>0</v>
      </c>
      <c r="AV21" s="39">
        <f>COUNTIF(H16,"Yok")*(0)
+COUNTIF(H16,"Askerlik Yardımı")*(0)
+COUNTIF(H16,"Cenaze Yardımı (Anne-Baba)")*($BX$3+$BX$3*0.00759)
+COUNTIF(H16,"Cenaze Yardımı (Eş-Çocuk)")*($BX$4+$BX$4*0.00759)
+COUNTIF(H16,"Cenaze Yardımı (İşçi-İş Kazası Sonucu)")*($BX$5+$BX$5*0.00759)
+COUNTIF(H16,"Cenaze Yardımı (İşçi-Tabii Sebepler Sonucu)")*($BX$6+$BX$6*0.00759)
+COUNTIF(H16,"Çikolata Yardımı")*($BX$7+$BX$7*0.00759)
+COUNTIF(H16,"Doğal Afet Yardımı")*($BX$8+$BX$8*0.00759)
+COUNTIF(H16,"Doğum Yardımı (İşveren)")*($BX$9+$BX$9*0.00759)
+COUNTIF(H16,"Eğitim Yardımı (Çocuk-İlköğretim)")*(0)
+COUNTIF(H16,"Eğitim Yardımı (Çocuk-Ortaöğretim)")*(0)
+COUNTIF(H16,"Eğitim Yardımı (Çocuk-Lise)")*(0)
+COUNTIF(H16,"Eğitim Yardımı (Çocuk-Yükseköğretim)")*(0)
+COUNTIF(H16,"Eğitim Yardımı (İşçi-Lise)")*(0)
+COUNTIF(H16,"Eğitim Yardımı (İşçi-Yükseköğretim)")*(0)
+COUNTIF(H16,"Evlilik Yardımı")*($BX$16+$BX$16*0.00759)
+COUNTIF(H16,"Gıda Yardımı")*(0)
+COUNTIF(H16,"İş Kazası veya Meslek Hastalığı Tazminatı")*($BX$18+$BX$18*0.00759)
+COUNTIF(H16,"Temizlik Yardımı")*(0)
+COUNTIF(I16,"Yok")*(0)
+COUNTIF(I16,"Askerlik Yardımı")*(0)
+COUNTIF(I16,"Cenaze Yardımı (Anne-Baba)")*($BX$3+$BX$3*0.00759)
+COUNTIF(I16,"Cenaze Yardımı (Eş-Çocuk)")*($BX$4+$BX$4*0.00759)
+COUNTIF(I16,"Cenaze Yardımı (İşçi-İş Kazası Sonucu)")*($BX$5+$BX$5*0.00759)
+COUNTIF(I16,"Cenaze Yardımı (İşçi-Tabii Sebepler Sonucu)")*($BX$6+$BX$6*0.00759)
+COUNTIF(I16,"Çikolata Yardımı")*($BX$7+$BX$7*0.00759)
+COUNTIF(I16,"Doğal Afet Yardımı")*($BX$8+$BX$8*0.00759)
+COUNTIF(I16,"Doğum Yardımı (İşveren)")*($BX$9+$BX$9*0.00759)
+COUNTIF(I16,"Eğitim Yardımı (Çocuk-İlköğretim)")*(0)
+COUNTIF(I16,"Eğitim Yardımı (Çocuk-Ortaöğretim)")*(0)
+COUNTIF(I16,"Eğitim Yardımı (Çocuk-Lise)")*(0)
+COUNTIF(I16,"Eğitim Yardımı (Çocuk-Yükseköğretim)")*(0)
+COUNTIF(I16,"Eğitim Yardımı (İşçi-Lise)")*(0)
+COUNTIF(I16,"Eğitim Yardımı (İşçi-Yükseköğretim)")*(0)
+COUNTIF(I16,"Evlilik Yardımı")*($BX$16+$BX$16*0.00759)
+COUNTIF(I16,"Gıda Yardımı")*(0)
+COUNTIF(I16,"İş Kazası veya Meslek Hastalığı Tazminatı")*($BX$18+$BX$18*0.00759)
+COUNTIF(I16,"Temizlik Yardımı")*(0)
+COUNTIF(J16,"Yok")*(0)
+COUNTIF(J16,"Askerlik Yardımı")*(0)
+COUNTIF(J16,"Cenaze Yardımı (Anne-Baba)")*($BX$3+$BX$3*0.00759)
+COUNTIF(J16,"Cenaze Yardımı (Eş-Çocuk)")*($BX$4+$BX$4*0.00759)
+COUNTIF(J16,"Cenaze Yardımı (İşçi-İş Kazası Sonucu)")*($BX$5+$BX$5*0.00759)
+COUNTIF(J16,"Cenaze Yardımı (İşçi-Tabii Sebepler Sonucu)")*($BX$6+$BX$6*0.00759)
+COUNTIF(J16,"Çikolata Yardımı")*($BX$7+$BX$7*0.00759)
+COUNTIF(J16,"Doğal Afet Yardımı")*($BX$8+$BX$8*0.00759)
+COUNTIF(J16,"Doğum Yardımı (İşveren)")*($BX$9+$BX$9*0.00759)
+COUNTIF(J16,"Eğitim Yardımı (Çocuk-İlköğretim)")*(0)
+COUNTIF(J16,"Eğitim Yardımı (Çocuk-Ortaöğretim)")*(0)
+COUNTIF(J16,"Eğitim Yardımı (Çocuk-Lise)")*(0)
+COUNTIF(J16,"Eğitim Yardımı (Çocuk-Yükseköğretim)")*(0)
+COUNTIF(J16,"Eğitim Yardımı (İşçi-Lise)")*(0)
+COUNTIF(J16,"Eğitim Yardımı (İşçi-Yükseköğretim)")*(0)
+COUNTIF(J16,"Evlilik Yardımı")*($BX$16+$BX$16*0.00759)
+COUNTIF(J16,"Gıda Yardımı")*(0)
+COUNTIF(J16,"İş Kazası veya Meslek Hastalığı Tazminatı")*($BX$18+$BX$18*0.00759)
+COUNTIF(J16,"Temizlik Yardımı")*(0)</f>
        <v>0</v>
      </c>
      <c r="AW21" s="39">
        <f>COUNTIF(H16,"Yok")*(0)
+COUNTIF(H16,"Askerlik Yardımı")*($BX$2)
+COUNTIF(H16,"Cenaze Yardımı (Anne-Baba)")*($BX$3)
+COUNTIF(H16,"Cenaze Yardımı (Eş-Çocuk)")*($BX$4)
+COUNTIF(H16,"Cenaze Yardımı (İşçi-İş Kazası Sonucu)")*($BX$5)
+COUNTIF(H16,"Cenaze Yardımı (İşçi-Tabii Sebepler Sonucu)")*($BX$6)
+COUNTIF(H16,"Çikolata Yardımı")*($BX$7)
+COUNTIF(H16,"Doğal Afet Yardımı")*($BX$8)
+COUNTIF(H16,"Doğum Yardımı (İşveren)")*($BX$9)
+COUNTIF(H16,"Eğitim Yardımı (Çocuk-İlköğretim)")*($BX$10)
+COUNTIF(H16,"Eğitim Yardımı (Çocuk-Ortaöğretim)")*($BX$11)
+COUNTIF(H16,"Eğitim Yardımı (Çocuk-Lise)")*($BX$12)
+COUNTIF(H16,"Eğitim Yardımı (Çocuk-Yükseköğretim)")*($BX$13)
+COUNTIF(H16,"Eğitim Yardımı (İşçi-Lise)")*($BX$14)
+COUNTIF(H16,"Eğitim Yardımı (İşçi-Yükseköğretim)")*($BX$15)
+COUNTIF(H16,"Evlilik Yardımı")*($BX$16)
+COUNTIF(H16,"Gıda Yardımı")*($BX$17)
+COUNTIF(H16,"İş Kazası veya Meslek Hastalığı Tazminatı")*($BX$18)
+COUNTIF(H16,"Temizlik Yardımı")*($BX$19)
+COUNTIF(I16,"Yok")*(0)
+COUNTIF(I16,"Askerlik Yardımı")*($BX$2)
+COUNTIF(I16,"Cenaze Yardımı (Anne-Baba)")*($BX$3)
+COUNTIF(I16,"Cenaze Yardımı (Eş-Çocuk)")*($BX$4)
+COUNTIF(I16,"Cenaze Yardımı (İşçi-İş Kazası Sonucu)")*($BX$5)
+COUNTIF(I16,"Cenaze Yardımı (İşçi-Tabii Sebepler Sonucu)")*($BX$6)
+COUNTIF(I16,"Çikolata Yardımı")*($BX$7)
+COUNTIF(I16,"Doğal Afet Yardımı")*($BX$8)
+COUNTIF(I16,"Doğum Yardımı (İşveren)")*($BX$9)
+COUNTIF(I16,"Eğitim Yardımı (Çocuk-İlköğretim)")*($BX$10)
+COUNTIF(I16,"Eğitim Yardımı (Çocuk-Ortaöğretim)")*($BX$11)
+COUNTIF(I16,"Eğitim Yardımı (Çocuk-Lise)")*($BX$12)
+COUNTIF(I16,"Eğitim Yardımı (Çocuk-Yükseköğretim)")*($BX$13)
+COUNTIF(I16,"Eğitim Yardımı (İşçi-Lise)")*($BX$14)
+COUNTIF(I16,"Eğitim Yardımı (İşçi-Yükseköğretim)")*($BX$15)
+COUNTIF(I16,"Evlilik Yardımı")*($BX$16)
+COUNTIF(I16,"Gıda Yardımı")*($BX$17)
+COUNTIF(I16,"İş Kazası veya Meslek Hastalığı Tazminatı")*($BX$18)
+COUNTIF(I16,"Temizlik Yardımı")*($BX$19)
+COUNTIF(J16,"Yok")*(0)
+COUNTIF(J16,"Askerlik Yardımı")*($BX$2)
+COUNTIF(J16,"Cenaze Yardımı (Anne-Baba)")*($BX$3)
+COUNTIF(J16,"Cenaze Yardımı (Eş-Çocuk)")*($BX$4)
+COUNTIF(J16,"Cenaze Yardımı (İşçi-İş Kazası Sonucu)")*($BX$5)
+COUNTIF(J16,"Cenaze Yardımı (İşçi-Tabii Sebepler Sonucu)")*($BX$6)
+COUNTIF(J16,"Çikolata Yardımı")*($BX$7)
+COUNTIF(J16,"Doğal Afet Yardımı")*($BX$8)
+COUNTIF(J16,"Doğum Yardımı (İşveren)")*($BX$9)
+COUNTIF(J16,"Eğitim Yardımı (Çocuk-İlköğretim)")*($BX$10)
+COUNTIF(J16,"Eğitim Yardımı (Çocuk-Ortaöğretim)")*($BX$11)
+COUNTIF(J16,"Eğitim Yardımı (Çocuk-Lise)")*($BX$12)
+COUNTIF(J16,"Eğitim Yardımı (Çocuk-Yükseköğretim)")*($BX$13)
+COUNTIF(J16,"Eğitim Yardımı (İşçi-Lise)")*($BX$14)
+COUNTIF(J16,"Eğitim Yardımı (İşçi-Yükseköğretim)")*($BX$15)
+COUNTIF(J16,"Evlilik Yardımı")*($BX$16)
+COUNTIF(J16,"Gıda Yardımı")*($BX$17)
+COUNTIF(J16,"İş Kazası veya Meslek Hastalığı Tazminatı")*($BX$18)
+COUNTIF(J16,"Temizlik Yardımı")*($BX$19)</f>
        <v>0</v>
      </c>
      <c r="AX21" s="40" t="s">
        <v>12</v>
      </c>
      <c r="AY21" s="38">
        <f>COUNTIF(AX21,"Var")*(AK13*0.9*-1)</f>
        <v>-286.85556914091711</v>
      </c>
      <c r="AZ21" s="38">
        <f>(AY21*-1)</f>
        <v>286.85556914091711</v>
      </c>
      <c r="BA21" s="39">
        <f>COUNTIF(H26,"Yok")*(0)
+COUNTIF(H26,"Askerlik Yardımı")*($BX$2/CM22)
+COUNTIF(H26,"Cenaze Yardımı (Anne-Baba)")*($BX$3+$BX$3*0.00759)
+COUNTIF(H26,"Cenaze Yardımı (Eş-Çocuk)")*($BX$4+$BX$4*0.00759)
+COUNTIF(H26,"Cenaze Yardımı (İşçi-İş Kazası Sonucu)")*($BX$5+$BX$5*0.00759)
+COUNTIF(H26,"Cenaze Yardımı (İşçi-Tabii Sebepler Sonucu)")*($BX$6+$BX$6*0.00759)
+COUNTIF(H26,"Çikolata Yardımı")*($BX$7+$BX$7*0.00759)
+COUNTIF(H26,"Doğal Afet Yardımı")*($BX$8+$BX$8*0.00759)
+COUNTIF(H26,"Doğum Yardımı (İşveren)")*($BX$9+$BX$9*0.00759)
+COUNTIF(H26,"Eğitim Yardımı (Çocuk-İlköğretim)")*($BX$10/CM22)
+COUNTIF(H26,"Eğitim Yardımı (Çocuk-Ortaöğretim)")*($BX$11/CM22)
+COUNTIF(H26,"Eğitim Yardımı (Çocuk-Lise)")*($BX$12/CM22)
+COUNTIF(H26,"Eğitim Yardımı (Çocuk-Yükseköğretim)")*($BX$13/CM22)
+COUNTIF(H26,"Eğitim Yardımı (İşçi-Lise)")*($BX$14/CM22)
+COUNTIF(H26,"Eğitim Yardımı (İşçi-Yükseköğretim)")*($BX$15/CM22)
+COUNTIF(H26,"Evlilik Yardımı")*($BX$16+$BX$16*0.00759)
+COUNTIF(H26,"Gıda Yardımı")*($BX$17/CM22)
+COUNTIF(H26,"İş Kazası veya Meslek Hastalığı Tazminatı")*($BX$18+$BX$18*0.00759)
+COUNTIF(H26,"Temizlik Yardımı")*($BX$19/CM22)
+COUNTIF(I26,"Yok")*(0)
+COUNTIF(I26,"Askerlik Yardımı")*($BX$2/CM22)
+COUNTIF(I26,"Cenaze Yardımı (Anne-Baba)")*($BX$3+$BX$3*0.00759)
+COUNTIF(I26,"Cenaze Yardımı (Eş-Çocuk)")*($BX$4+$BX$4*0.00759)
+COUNTIF(I26,"Cenaze Yardımı (İşçi-İş Kazası Sonucu)")*($BX$5+$BX$5*0.00759)
+COUNTIF(I26,"Cenaze Yardımı (İşçi-Tabii Sebepler Sonucu)")*($BX$6+$BX$6*0.00759)
+COUNTIF(I26,"Çikolata Yardımı")*($BX$7+$BX$7*0.00759)
+COUNTIF(I26,"Doğal Afet Yardımı")*($BX$8+$BX$8*0.00759)
+COUNTIF(I26,"Doğum Yardımı (İşveren)")*($BX$9+$BX$9*0.00759)
+COUNTIF(I26,"Eğitim Yardımı (Çocuk-İlköğretim)")*($BX$10/CM22)
+COUNTIF(I26,"Eğitim Yardımı (Çocuk-Ortaöğretim)")*($BX$11/CM22)
+COUNTIF(I26,"Eğitim Yardımı (Çocuk-Lise)")*($BX$12/CM22)
+COUNTIF(I26,"Eğitim Yardımı (Çocuk-Yükseköğretim)")*($BX$13/CM22)
+COUNTIF(I26,"Eğitim Yardımı (İşçi-Lise)")*($BX$14/CM22)
+COUNTIF(I26,"Eğitim Yardımı (İşçi-Yükseköğretim)")*($BX$15/CM22)
+COUNTIF(I26,"Evlilik Yardımı")*($BX$16+$BX$16*0.00759)
+COUNTIF(I26,"Gıda Yardımı")*($BX$17/CM22)
+COUNTIF(I26,"İş Kazası veya Meslek Hastalığı Tazminatı")*($BX$18+$BX$18*0.00759)
+COUNTIF(I26,"Temizlik Yardımı")*($BX$19/CM22)
+COUNTIF(J26,"Yok")*(0)
+COUNTIF(J26,"Askerlik Yardımı")*($BX$2/CM22)
+COUNTIF(J26,"Cenaze Yardımı (Anne-Baba)")*($BX$3+$BX$3*0.00759)
+COUNTIF(J26,"Cenaze Yardımı (Eş-Çocuk)")*($BX$4+$BX$4*0.00759)
+COUNTIF(J26,"Cenaze Yardımı (İşçi-İş Kazası Sonucu)")*($BX$5+$BX$5*0.00759)
+COUNTIF(J26,"Cenaze Yardımı (İşçi-Tabii Sebepler Sonucu)")*($BX$6+$BX$6*0.00759)
+COUNTIF(J26,"Çikolata Yardımı")*($BX$7+$BX$7*0.00759)
+COUNTIF(J26,"Doğal Afet Yardımı")*($BX$8+$BX$8*0.00759)
+COUNTIF(J26,"Doğum Yardımı (İşveren)")*($BX$9+$BX$9*0.00759)
+COUNTIF(J26,"Eğitim Yardımı (Çocuk-İlköğretim)")*($BX$10/CM22)
+COUNTIF(J26,"Eğitim Yardımı (Çocuk-Ortaöğretim)")*($BX$11/CM22)
+COUNTIF(J26,"Eğitim Yardımı (Çocuk-Lise)")*($BX$12/CM22)
+COUNTIF(J26,"Eğitim Yardımı (Çocuk-Yükseköğretim)")*($BX$13/CM22)
+COUNTIF(J26,"Eğitim Yardımı (İşçi-Lise)")*($BX$14/CM22)
+COUNTIF(J26,"Eğitim Yardımı (İşçi-Yükseköğretim)")*($BX$15/CM22)
+COUNTIF(J26,"Evlilik Yardımı")*($BX$16+$BX$16*0.00759)
+COUNTIF(J26,"Gıda Yardımı")*($BX$17/CM22)
+COUNTIF(J26,"İş Kazası veya Meslek Hastalığı Tazminatı")*($BX$18+$BX$18*0.00759)
+COUNTIF(J26,"Temizlik Yardımı")*($BX$19/CM22)</f>
        <v>0</v>
      </c>
      <c r="BB21" s="39">
        <f>COUNTIF(H26,"Yok")*(0)
+COUNTIF(H26,"Askerlik Yardımı")*(0)
+COUNTIF(H26,"Cenaze Yardımı (Anne-Baba)")*($BX$3+$BX$3*0.00759)
+COUNTIF(H26,"Cenaze Yardımı (Eş-Çocuk)")*($BX$4+$BX$4*0.00759)
+COUNTIF(H26,"Cenaze Yardımı (İşçi-İş Kazası Sonucu)")*($BX$5+$BX$5*0.00759)
+COUNTIF(H26,"Cenaze Yardımı (İşçi-Tabii Sebepler Sonucu)")*($BX$6+$BX$6*0.00759)
+COUNTIF(H26,"Çikolata Yardımı")*($BX$7+$BX$7*0.00759)
+COUNTIF(H26,"Doğal Afet Yardımı")*($BX$8+$BX$8*0.00759)
+COUNTIF(H26,"Doğum Yardımı (İşveren)")*($BX$9+$BX$9*0.00759)
+COUNTIF(H26,"Eğitim Yardımı (Çocuk-İlköğretim)")*(0)
+COUNTIF(H26,"Eğitim Yardımı (Çocuk-Ortaöğretim)")*(0)
+COUNTIF(H26,"Eğitim Yardımı (Çocuk-Lise)")*(0)
+COUNTIF(H26,"Eğitim Yardımı (Çocuk-Yükseköğretim)")*(0)
+COUNTIF(H26,"Eğitim Yardımı (İşçi-Lise)")*(0)
+COUNTIF(H26,"Eğitim Yardımı (İşçi-Yükseköğretim)")*(0)
+COUNTIF(H26,"Evlilik Yardımı")*($BX$16+$BX$16*0.00759)
+COUNTIF(H26,"Gıda Yardımı")*(0)
+COUNTIF(H26,"İş Kazası veya Meslek Hastalığı Tazminatı")*($BX$18+$BX$18*0.00759)
+COUNTIF(H26,"Temizlik Yardımı")*(0)
+COUNTIF(I26,"Yok")*(0)
+COUNTIF(I26,"Askerlik Yardımı")*(0)
+COUNTIF(I26,"Cenaze Yardımı (Anne-Baba)")*($BX$3+$BX$3*0.00759)
+COUNTIF(I26,"Cenaze Yardımı (Eş-Çocuk)")*($BX$4+$BX$4*0.00759)
+COUNTIF(I26,"Cenaze Yardımı (İşçi-İş Kazası Sonucu)")*($BX$5+$BX$5*0.00759)
+COUNTIF(I26,"Cenaze Yardımı (İşçi-Tabii Sebepler Sonucu)")*($BX$6+$BX$6*0.00759)
+COUNTIF(I26,"Çikolata Yardımı")*($BX$7+$BX$7*0.00759)
+COUNTIF(I26,"Doğal Afet Yardımı")*($BX$8+$BX$8*0.00759)
+COUNTIF(I26,"Doğum Yardımı (İşveren)")*($BX$9+$BX$9*0.00759)
+COUNTIF(I26,"Eğitim Yardımı (Çocuk-İlköğretim)")*(0)
+COUNTIF(I26,"Eğitim Yardımı (Çocuk-Ortaöğretim)")*(0)
+COUNTIF(I26,"Eğitim Yardımı (Çocuk-Lise)")*(0)
+COUNTIF(I26,"Eğitim Yardımı (Çocuk-Yükseköğretim)")*(0)
+COUNTIF(I26,"Eğitim Yardımı (İşçi-Lise)")*(0)
+COUNTIF(I26,"Eğitim Yardımı (İşçi-Yükseköğretim)")*(0)
+COUNTIF(I26,"Evlilik Yardımı")*($BX$16+$BX$16*0.00759)
+COUNTIF(I26,"Gıda Yardımı")*(0)
+COUNTIF(I26,"İş Kazası veya Meslek Hastalığı Tazminatı")*($BX$18+$BX$18*0.00759)
+COUNTIF(I26,"Temizlik Yardımı")*(0)
+COUNTIF(J26,"Yok")*(0)
+COUNTIF(J26,"Askerlik Yardımı")*(0)
+COUNTIF(J26,"Cenaze Yardımı (Anne-Baba)")*($BX$3+$BX$3*0.00759)
+COUNTIF(J26,"Cenaze Yardımı (Eş-Çocuk)")*($BX$4+$BX$4*0.00759)
+COUNTIF(J26,"Cenaze Yardımı (İşçi-İş Kazası Sonucu)")*($BX$5+$BX$5*0.00759)
+COUNTIF(J26,"Cenaze Yardımı (İşçi-Tabii Sebepler Sonucu)")*($BX$6+$BX$6*0.00759)
+COUNTIF(J26,"Çikolata Yardımı")*($BX$7+$BX$7*0.00759)
+COUNTIF(J26,"Doğal Afet Yardımı")*($BX$8+$BX$8*0.00759)
+COUNTIF(J26,"Doğum Yardımı (İşveren)")*($BX$9+$BX$9*0.00759)
+COUNTIF(J26,"Eğitim Yardımı (Çocuk-İlköğretim)")*(0)
+COUNTIF(J26,"Eğitim Yardımı (Çocuk-Ortaöğretim)")*(0)
+COUNTIF(J26,"Eğitim Yardımı (Çocuk-Lise)")*(0)
+COUNTIF(J26,"Eğitim Yardımı (Çocuk-Yükseköğretim)")*(0)
+COUNTIF(J26,"Eğitim Yardımı (İşçi-Lise)")*(0)
+COUNTIF(J26,"Eğitim Yardımı (İşçi-Yükseköğretim)")*(0)
+COUNTIF(J26,"Evlilik Yardımı")*($BX$16+$BX$16*0.00759)
+COUNTIF(J26,"Gıda Yardımı")*(0)
+COUNTIF(J26,"İş Kazası veya Meslek Hastalığı Tazminatı")*($BX$18+$BX$18*0.00759)
+COUNTIF(J26,"Temizlik Yardımı")*(0)</f>
        <v>0</v>
      </c>
      <c r="BC21" s="39">
        <f>COUNTIF(H26,"Yok")*(0)
+COUNTIF(H26,"Askerlik Yardımı")*($BX$2)
+COUNTIF(H26,"Cenaze Yardımı (Anne-Baba)")*($BX$3)
+COUNTIF(H26,"Cenaze Yardımı (Eş-Çocuk)")*($BX$4)
+COUNTIF(H26,"Cenaze Yardımı (İşçi-İş Kazası Sonucu)")*($BX$5)
+COUNTIF(H26,"Cenaze Yardımı (İşçi-Tabii Sebepler Sonucu)")*($BX$6)
+COUNTIF(H26,"Çikolata Yardımı")*($BX$7)
+COUNTIF(H26,"Doğal Afet Yardımı")*($BX$8)
+COUNTIF(H26,"Doğum Yardımı (İşveren)")*($BX$9)
+COUNTIF(H26,"Eğitim Yardımı (Çocuk-İlköğretim)")*($BX$10)
+COUNTIF(H26,"Eğitim Yardımı (Çocuk-Ortaöğretim)")*($BX$11)
+COUNTIF(H26,"Eğitim Yardımı (Çocuk-Lise)")*($BX$12)
+COUNTIF(H26,"Eğitim Yardımı (Çocuk-Yükseköğretim)")*($BX$13)
+COUNTIF(H26,"Eğitim Yardımı (İşçi-Lise)")*($BX$14)
+COUNTIF(H26,"Eğitim Yardımı (İşçi-Yükseköğretim)")*($BX$15)
+COUNTIF(H26,"Evlilik Yardımı")*($BX$16)
+COUNTIF(H26,"Gıda Yardımı")*($BX$17)
+COUNTIF(H26,"İş Kazası veya Meslek Hastalığı Tazminatı")*($BX$18)
+COUNTIF(H26,"Temizlik Yardımı")*($BX$19)
+COUNTIF(I26,"Yok")*(0)
+COUNTIF(I26,"Askerlik Yardımı")*($BX$2)
+COUNTIF(I26,"Cenaze Yardımı (Anne-Baba)")*($BX$3)
+COUNTIF(I26,"Cenaze Yardımı (Eş-Çocuk)")*($BX$4)
+COUNTIF(I26,"Cenaze Yardımı (İşçi-İş Kazası Sonucu)")*($BX$5)
+COUNTIF(I26,"Cenaze Yardımı (İşçi-Tabii Sebepler Sonucu)")*($BX$6)
+COUNTIF(I26,"Çikolata Yardımı")*($BX$7)
+COUNTIF(I26,"Doğal Afet Yardımı")*($BX$8)
+COUNTIF(I26,"Doğum Yardımı (İşveren)")*($BX$9)
+COUNTIF(I26,"Eğitim Yardımı (Çocuk-İlköğretim)")*($BX$10)
+COUNTIF(I26,"Eğitim Yardımı (Çocuk-Ortaöğretim)")*($BX$11)
+COUNTIF(I26,"Eğitim Yardımı (Çocuk-Lise)")*($BX$12)
+COUNTIF(I26,"Eğitim Yardımı (Çocuk-Yükseköğretim)")*($BX$13)
+COUNTIF(I26,"Eğitim Yardımı (İşçi-Lise)")*($BX$14)
+COUNTIF(I26,"Eğitim Yardımı (İşçi-Yükseköğretim)")*($BX$15)
+COUNTIF(I26,"Evlilik Yardımı")*($BX$16)
+COUNTIF(I26,"Gıda Yardımı")*($BX$17)
+COUNTIF(I26,"İş Kazası veya Meslek Hastalığı Tazminatı")*($BX$18)
+COUNTIF(I26,"Temizlik Yardımı")*($BX$19)
+COUNTIF(J26,"Yok")*(0)
+COUNTIF(J26,"Askerlik Yardımı")*($BX$2)
+COUNTIF(J26,"Cenaze Yardımı (Anne-Baba)")*($BX$3)
+COUNTIF(J26,"Cenaze Yardımı (Eş-Çocuk)")*($BX$4)
+COUNTIF(J26,"Cenaze Yardımı (İşçi-İş Kazası Sonucu)")*($BX$5)
+COUNTIF(J26,"Cenaze Yardımı (İşçi-Tabii Sebepler Sonucu)")*($BX$6)
+COUNTIF(J26,"Çikolata Yardımı")*($BX$7)
+COUNTIF(J26,"Doğal Afet Yardımı")*($BX$8)
+COUNTIF(J26,"Doğum Yardımı (İşveren)")*($BX$9)
+COUNTIF(J26,"Eğitim Yardımı (Çocuk-İlköğretim)")*($BX$10)
+COUNTIF(J26,"Eğitim Yardımı (Çocuk-Ortaöğretim)")*($BX$11)
+COUNTIF(J26,"Eğitim Yardımı (Çocuk-Lise)")*($BX$12)
+COUNTIF(J26,"Eğitim Yardımı (Çocuk-Yükseköğretim)")*($BX$13)
+COUNTIF(J26,"Eğitim Yardımı (İşçi-Lise)")*($BX$14)
+COUNTIF(J26,"Eğitim Yardımı (İşçi-Yükseköğretim)")*($BX$15)
+COUNTIF(J26,"Evlilik Yardımı")*($BX$16)
+COUNTIF(J26,"Gıda Yardımı")*($BX$17)
+COUNTIF(J26,"İş Kazası veya Meslek Hastalığı Tazminatı")*($BX$18)
+COUNTIF(J26,"Temizlik Yardımı")*($BX$19)</f>
        <v>0</v>
      </c>
      <c r="BD21" s="40" t="s">
        <v>12</v>
      </c>
      <c r="BE21" s="38">
        <f>COUNTIF(BD21,"Var")*(AK26*0.9*-1)</f>
        <v>-314.3659263304092</v>
      </c>
      <c r="BF21" s="38">
        <f>(BE21*-1)</f>
        <v>314.3659263304092</v>
      </c>
      <c r="BH21" s="38">
        <f>COUNTIF($A$1,"1S-Kaptan-Üniversite")*(250/30*AP10)
+COUNTIF($A$1,"1S-Kaptan-MYO")*(250/30*AP10)
+COUNTIF($A$1,"1S-Kaptan-Lise")*(250/30*AP10)
+COUNTIF($A$1,"1S-Kaptan-Ortaokul")*(250/30*AP10)
+COUNTIF($A$1,"1S-Kaptan-İlkokul")*(250/30*AP10)
+COUNTIF($A$1,"1S-Baş Makinist-Üniversite")*(250/30*AP10)
+COUNTIF($A$1,"1S-Baş Makinist-MYO")*(250/30*AP10)
+COUNTIF($A$1,"1S-Baş Makinist-Lise")*(250/30*AP10)
+COUNTIF($A$1,"1S-Baş Makinist-Ortaokul")*(250/30*AP10)
+COUNTIF($A$1,"1S-Baş Makinist-İlkokul")*(250/30*AP10)
+COUNTIF($A$1,"1S-İkinci Kaptan-Üniversite")*(250/30*AP10)
+COUNTIF($A$1,"1S-İkinci Kaptan-MYO")*(250/30*AP10)
+COUNTIF($A$1,"1S-İkinci Kaptan-Lise")*(250/30*AP10)
+COUNTIF($A$1,"1S-İkinci Kaptan-Ortaokul")*(250/30*AP10)
+COUNTIF($A$1,"1S-İkinci Kaptan-İlkokul")*(250/30*AP10)
+COUNTIF($A$1,"2S-Kaptan-Üniversite")*(250/30*AP10)
+COUNTIF($A$1,"2S-Kaptan-MYO")*(250/30*AP10)
+COUNTIF($A$1,"2S-Kaptan-Lise")*(250/30*AP10)
+COUNTIF($A$1,"2S-Kaptan-Ortaokul")*(250/30*AP10)
+COUNTIF($A$1,"2S-Kaptan-İlkokul")*(250/30*AP10)
+COUNTIF($A$1,"2S-Baş Makinist-Üniversite")*(250/30*AP10)
+COUNTIF($A$1,"2S-Baş Makinist-MYO")*(250/30*AP10)
+COUNTIF($A$1,"2S-Baş Makinist-Lise")*(250/30*AP10)
+COUNTIF($A$1,"2S-Baş Makinist-Ortaokul")*(250/30*AP10)
+COUNTIF($A$1,"2S-Baş Makinist-İlkokul")*(250/30*AP10)
+COUNTIF($A$1,"2S-İkinci Kaptan-Üniversite")*(250/30*AP10)
+COUNTIF($A$1,"2S-İkinci Kaptan-MYO")*(250/30*AP10)
+COUNTIF($A$1,"2S-İkinci Kaptan-Lise")*(250/30*AP10)
+COUNTIF($A$1,"2S-İkinci Kaptan-Ortaokul")*(250/30*AP10)
+COUNTIF($A$1,"2S-İkinci Kaptan-İlkokul")*(250/30*AP10)</f>
        <v>250.00000000000003</v>
      </c>
      <c r="BJ21" s="38">
        <f t="shared" si="80"/>
        <v>0</v>
      </c>
      <c r="BK21" s="38">
        <f t="shared" si="81"/>
        <v>0</v>
      </c>
      <c r="BL21" s="36" t="s">
        <v>0</v>
      </c>
      <c r="BM21" s="38">
        <f t="shared" si="5"/>
        <v>396.73</v>
      </c>
      <c r="BN21" s="38">
        <f t="shared" si="86"/>
        <v>393.71881930000001</v>
      </c>
      <c r="BO21" s="38">
        <f t="shared" si="87"/>
        <v>396.73</v>
      </c>
      <c r="BU21" s="38">
        <f t="shared" ca="1" si="88"/>
        <v>-2035.5564803655845</v>
      </c>
      <c r="BV21" s="38">
        <f t="shared" ca="1" si="89"/>
        <v>-145.39689145468461</v>
      </c>
      <c r="BW21" s="52" t="s">
        <v>0</v>
      </c>
      <c r="BX21" s="52" t="s">
        <v>0</v>
      </c>
      <c r="CD21" s="38">
        <f t="shared" ref="CD21" si="115">(CD20/12)</f>
        <v>296.02568820408118</v>
      </c>
      <c r="CE21" s="38">
        <f t="shared" ref="CE21" ca="1" si="116">(CE20/12)</f>
        <v>15955.672724626476</v>
      </c>
      <c r="CF21" s="36" t="s">
        <v>0</v>
      </c>
      <c r="CG21" s="36" t="s">
        <v>0</v>
      </c>
      <c r="CH21" s="36" t="s">
        <v>0</v>
      </c>
      <c r="CI21" s="36" t="s">
        <v>0</v>
      </c>
      <c r="CJ21" s="38">
        <f>(0)</f>
        <v>0</v>
      </c>
      <c r="CK21" s="38">
        <f>(0)</f>
        <v>0</v>
      </c>
      <c r="CL21" s="38">
        <f t="shared" si="59"/>
        <v>0</v>
      </c>
      <c r="CM21" s="44">
        <f t="shared" si="70"/>
        <v>0.84240999999999999</v>
      </c>
      <c r="CN21" s="44">
        <f t="shared" si="60"/>
        <v>0.84240999999999999</v>
      </c>
      <c r="CO21" s="44">
        <f t="shared" si="61"/>
        <v>0.99241000000000001</v>
      </c>
      <c r="CP21" s="44">
        <f>IF(CC13=0,CB13,(VLOOKUP($CB13,$BM$1:$BP$5,2,0)-CA12)/BZ13*CB12+(CA13-VLOOKUP($CB13,$BM$1:$BP$5,2,0))/BZ13*CB13)</f>
        <v>0.15</v>
      </c>
      <c r="CQ21" s="38">
        <f>(ROUND(BZ13*CP21,2))</f>
        <v>825.05</v>
      </c>
      <c r="CR21" s="44">
        <f>(100+(100*0.00759*-1)+(100*0.01*-1)+(100*0.01*-1)+(100+100*0.14*-1+100*0.01*-1)*CP21*-1)/100</f>
        <v>0.84491000000000005</v>
      </c>
      <c r="CS21" s="38">
        <f>BK23</f>
        <v>6471</v>
      </c>
      <c r="CT21" s="38">
        <f>BK23+BN23+BQ23+BR23</f>
        <v>5500.3499999999995</v>
      </c>
      <c r="CU21" s="38" t="s">
        <v>0</v>
      </c>
      <c r="CV21" s="38">
        <f ca="1">(AR21+AT7+AV7+AX7+AZ7+AE10+AK10+AN10+AQ10+BJ21+BM21+BG2)</f>
        <v>15126.18548176846</v>
      </c>
      <c r="CW21" s="38">
        <f ca="1">(AR21+AT7+AV7+AX7+AZ7+AE10+AK10+AN10+AQ10+BJ21+BM21+BG2)</f>
        <v>15126.18548176846</v>
      </c>
      <c r="CX21" s="38">
        <f ca="1">(CW21*0.00759*-1)</f>
        <v>-114.80774780662261</v>
      </c>
      <c r="CY21" s="38">
        <f>(BL23)</f>
        <v>6471</v>
      </c>
      <c r="CZ21" s="38">
        <f>(CY21*0.00759*-1)</f>
        <v>-49.114890000000003</v>
      </c>
      <c r="DA21" s="38">
        <f ca="1">(CW21-CY21)</f>
        <v>8655.1854817684598</v>
      </c>
      <c r="DB21" s="38">
        <f ca="1">(DA21*0.00759*-1)</f>
        <v>-65.692857806622612</v>
      </c>
      <c r="DF21" s="42">
        <v>19</v>
      </c>
      <c r="DG21" s="46">
        <v>9.5</v>
      </c>
      <c r="DH21" s="47">
        <v>0.21</v>
      </c>
      <c r="DI21" s="55"/>
    </row>
    <row r="22" spans="1:113" ht="39.950000000000003" customHeight="1" x14ac:dyDescent="0.25">
      <c r="A22" s="5">
        <f t="shared" si="79"/>
        <v>0</v>
      </c>
      <c r="B22" s="6" t="s">
        <v>20</v>
      </c>
      <c r="C22" s="14">
        <v>0</v>
      </c>
      <c r="D22" s="15">
        <v>40</v>
      </c>
      <c r="E22" s="15">
        <v>0</v>
      </c>
      <c r="F22" s="14">
        <v>20</v>
      </c>
      <c r="G22" s="14">
        <v>0</v>
      </c>
      <c r="H22" s="16" t="s">
        <v>1</v>
      </c>
      <c r="I22" s="16" t="s">
        <v>1</v>
      </c>
      <c r="J22" s="16" t="s">
        <v>1</v>
      </c>
      <c r="K22" s="17">
        <v>0</v>
      </c>
      <c r="L22" s="7">
        <f ca="1">(CW22-BD1+BK3+BG24+CP18+BU24+BV24+CL18-M22)</f>
        <v>9451.9438425556509</v>
      </c>
      <c r="M22" s="7">
        <f ca="1">(AW8+AY8+BA8+BH24)</f>
        <v>2705.25</v>
      </c>
      <c r="N22" s="8">
        <f t="shared" ca="1" si="82"/>
        <v>12157.193842555651</v>
      </c>
      <c r="O22" s="18" t="s">
        <v>0</v>
      </c>
      <c r="P22" s="19" t="s">
        <v>0</v>
      </c>
      <c r="Q22" s="19" t="s">
        <v>0</v>
      </c>
      <c r="R22" s="72"/>
      <c r="S22" s="71"/>
      <c r="T22" s="21" t="s">
        <v>0</v>
      </c>
      <c r="U22" s="26" t="s">
        <v>0</v>
      </c>
      <c r="V22" s="60"/>
      <c r="W22" s="61"/>
      <c r="X22" s="63"/>
      <c r="Y22" s="62"/>
      <c r="Z22" s="30"/>
      <c r="AA22" s="52" t="s">
        <v>109</v>
      </c>
      <c r="AB22" s="38">
        <v>203</v>
      </c>
      <c r="AC22" s="38">
        <v>208.57</v>
      </c>
      <c r="AD22" s="38">
        <v>208.57</v>
      </c>
      <c r="AE22" s="34">
        <f>(AF21+1)</f>
        <v>44774</v>
      </c>
      <c r="AF22" s="34">
        <f t="shared" si="106"/>
        <v>44804</v>
      </c>
      <c r="AG22" s="35">
        <f t="shared" si="107"/>
        <v>31</v>
      </c>
      <c r="AH22" s="35">
        <f t="shared" si="108"/>
        <v>27</v>
      </c>
      <c r="AI22" s="35">
        <f t="shared" si="109"/>
        <v>4</v>
      </c>
      <c r="AJ22" s="36" t="s">
        <v>0</v>
      </c>
      <c r="AK22" s="33">
        <f t="shared" si="110"/>
        <v>318.72841015657457</v>
      </c>
      <c r="AL22" s="33">
        <f>COUNTIF($A$1,"1S-Kaptan-Üniversite")*($AC$1)
+COUNTIF($A$1,"1S-Kaptan-MYO")*($AC$2)
+COUNTIF($A$1,"1S-Kaptan-Lise")*($AC$3)
+COUNTIF($A$1,"1S-Kaptan-Ortaokul")*($AC$4)
+COUNTIF($A$1,"1S-Kaptan-İlkokul")*($AC$5)
+COUNTIF($A$1,"1S-Baş Makinist-Üniversite")*($AC$6)
+COUNTIF($A$1,"1S-Baş Makinist-MYO")*($AC$7)
+COUNTIF($A$1,"1S-Baş Makinist-Lise")*($AC$8)
+COUNTIF($A$1,"1S-Baş Makinist-Ortaokul")*($AC$9)
+COUNTIF($A$1,"1S-Baş Makinist-İlkokul")*($AC$10)
+COUNTIF($A$1,"1S-İkinci Kaptan-Üniversite")*($AC$11)
+COUNTIF($A$1,"1S-İkinci Kaptan-MYO")*($AC$12)
+COUNTIF($A$1,"1S-İkinci Kaptan-Lise")*($AC$13)
+COUNTIF($A$1,"1S-İkinci Kaptan-Ortaokul")*($AC$14)
+COUNTIF($A$1,"1S-İkinci Kaptan-İlkokul")*($AC$15)
+COUNTIF($A$1,"1S-Usta Gemici-Üniversite")*($AC$16)
+COUNTIF($A$1,"1S-Usta Gemici-MYO")*($AC$17)
+COUNTIF($A$1,"1S-Usta Gemici-Lise")*($AC$18)
+COUNTIF($A$1,"1S-Usta Gemici-Ortaokul")*($AC$19)
+COUNTIF($A$1,"1S-Usta Gemici-İlkokul")*($AC$20)
+COUNTIF($A$1,"1S-Yağcı-Üniversite")*($AC$21)
+COUNTIF($A$1,"1S-Yağcı-MYO")*($AC$22)
+COUNTIF($A$1,"1S-Yağcı-Lise")*($AC$23)
+COUNTIF($A$1,"1S-Yağcı-Ortaokul")*($AC$24)
+COUNTIF($A$1,"1S-Yağcı-İlkokul")*($AC$25)
+COUNTIF($A$1,"2S-Kaptan-Üniversite")*($AC$26)
+COUNTIF($A$1,"2S-Kaptan-MYO")*($AC$27)
+COUNTIF($A$1,"2S-Kaptan-Lise")*($AC$28)
+COUNTIF($A$1,"2S-Kaptan-Ortaokul")*($AC$29)
+COUNTIF($A$1,"2S-Kaptan-İlkokul")*($AC$30)
+COUNTIF($A$1,"2S-Baş Makinist-Üniversite")*($AC$31)
+COUNTIF($A$1,"2S-Baş Makinist-MYO")*($AC$32)
+COUNTIF($A$1,"2S-Baş Makinist-Lise")*($AC$33)
+COUNTIF($A$1,"2S-Baş Makinist-Ortaokul")*($AC$34)
+COUNTIF($A$1,"2S-Baş Makinist-İlkokul")*($AC$35)
+COUNTIF($A$1,"2S-İkinci Kaptan-Üniversite")*($AC$36)
+COUNTIF($A$1,"2S-İkinci Kaptan-MYO")*($AC$37)
+COUNTIF($A$1,"2S-İkinci Kaptan-Lise")*($AC$38)
+COUNTIF($A$1,"2S-İkinci Kaptan-Ortaokul")*($AC$39)
+COUNTIF($A$1,"2S-İkinci Kaptan-İlkokul")*($AC$40)
+COUNTIF($A$1,"2S-Usta Gemici-Üniversite")*($AC$41)
+COUNTIF($A$1,"2S-Usta Gemici-MYO")*($AC$42)
+COUNTIF($A$1,"2S-Usta Gemici-Lise")*($AC$43)
+COUNTIF($A$1,"2S-Usta Gemici-Ortaokul")*($AC$44)
+COUNTIF($A$1,"2S-Usta Gemici-İlkokul")*($AC$45)
+COUNTIF($A$1,"2S-Yağcı-Üniversite")*($AC$46)
+COUNTIF($A$1,"2S-Yağcı-MYO")*($AC$47)
+COUNTIF($A$1,"2S-Yağcı-Lise")*($AC$48)
+COUNTIF($A$1,"2S-Yağcı-Ortaokul")*($AC$49)
+COUNTIF($A$1,"2S-Yağcı-İlkokul")*($AC$50)
+COUNTIF($A$1,"2S-Gemici-Üniversite")*($AC$51)
+COUNTIF($A$1,"2S-Gemici-MYO")*($AC$52)
+COUNTIF($A$1,"2S-Gemici-Lise")*($AC$53)
+COUNTIF($A$1,"2S-Gemici-Ortaokul")*($AC$54)
+COUNTIF($A$1,"2S-Gemici-İlkokul")*($AC$55)
+COUNTIF($A$1,"2S-Gemi Salon Sorumlusu-Üniversite")*($AC$56)
+COUNTIF($A$1,"2S-Gemi Salon Sorumlusu-MYO")*($AC$57)
+COUNTIF($A$1,"2S-Gemi Salon Sorumlusu-Lise")*($AC$58)
+COUNTIF($A$1,"2S-Gemi Salon Sorumlusu-Ortaokul")*($AC$59)
+COUNTIF($A$1,"2S-Gemi Salon Sorumlusu-İlkokul")*($AC$60)</f>
        <v>268.5</v>
      </c>
      <c r="AM22" s="33">
        <f t="shared" si="111"/>
        <v>318.72841015657457</v>
      </c>
      <c r="AN22" s="33">
        <f>COUNTIF($A$1,"1S-Kaptan-Üniversite")*($AC$1)
+COUNTIF($A$1,"1S-Kaptan-MYO")*($AC$2)
+COUNTIF($A$1,"1S-Kaptan-Lise")*($AC$3)
+COUNTIF($A$1,"1S-Kaptan-Ortaokul")*($AC$4)
+COUNTIF($A$1,"1S-Kaptan-İlkokul")*($AC$5)
+COUNTIF($A$1,"1S-Baş Makinist-Üniversite")*($AC$6)
+COUNTIF($A$1,"1S-Baş Makinist-MYO")*($AC$7)
+COUNTIF($A$1,"1S-Baş Makinist-Lise")*($AC$8)
+COUNTIF($A$1,"1S-Baş Makinist-Ortaokul")*($AC$9)
+COUNTIF($A$1,"1S-Baş Makinist-İlkokul")*($AC$10)
+COUNTIF($A$1,"1S-İkinci Kaptan-Üniversite")*($AC$11)
+COUNTIF($A$1,"1S-İkinci Kaptan-MYO")*($AC$12)
+COUNTIF($A$1,"1S-İkinci Kaptan-Lise")*($AC$13)
+COUNTIF($A$1,"1S-İkinci Kaptan-Ortaokul")*($AC$14)
+COUNTIF($A$1,"1S-İkinci Kaptan-İlkokul")*($AC$15)
+COUNTIF($A$1,"1S-Usta Gemici-Üniversite")*($AC$16)
+COUNTIF($A$1,"1S-Usta Gemici-MYO")*($AC$17)
+COUNTIF($A$1,"1S-Usta Gemici-Lise")*($AC$18)
+COUNTIF($A$1,"1S-Usta Gemici-Ortaokul")*($AC$19)
+COUNTIF($A$1,"1S-Usta Gemici-İlkokul")*($AC$20)
+COUNTIF($A$1,"1S-Yağcı-Üniversite")*($AC$21)
+COUNTIF($A$1,"1S-Yağcı-MYO")*($AC$22)
+COUNTIF($A$1,"1S-Yağcı-Lise")*($AC$23)
+COUNTIF($A$1,"1S-Yağcı-Ortaokul")*($AC$24)
+COUNTIF($A$1,"1S-Yağcı-İlkokul")*($AC$25)
+COUNTIF($A$1,"2S-Kaptan-Üniversite")*($AC$26)
+COUNTIF($A$1,"2S-Kaptan-MYO")*($AC$27)
+COUNTIF($A$1,"2S-Kaptan-Lise")*($AC$28)
+COUNTIF($A$1,"2S-Kaptan-Ortaokul")*($AC$29)
+COUNTIF($A$1,"2S-Kaptan-İlkokul")*($AC$30)
+COUNTIF($A$1,"2S-Baş Makinist-Üniversite")*($AC$31)
+COUNTIF($A$1,"2S-Baş Makinist-MYO")*($AC$32)
+COUNTIF($A$1,"2S-Baş Makinist-Lise")*($AC$33)
+COUNTIF($A$1,"2S-Baş Makinist-Ortaokul")*($AC$34)
+COUNTIF($A$1,"2S-Baş Makinist-İlkokul")*($AC$35)
+COUNTIF($A$1,"2S-İkinci Kaptan-Üniversite")*($AC$36)
+COUNTIF($A$1,"2S-İkinci Kaptan-MYO")*($AC$37)
+COUNTIF($A$1,"2S-İkinci Kaptan-Lise")*($AC$38)
+COUNTIF($A$1,"2S-İkinci Kaptan-Ortaokul")*($AC$39)
+COUNTIF($A$1,"2S-İkinci Kaptan-İlkokul")*($AC$40)
+COUNTIF($A$1,"2S-Usta Gemici-Üniversite")*($AC$41)
+COUNTIF($A$1,"2S-Usta Gemici-MYO")*($AC$42)
+COUNTIF($A$1,"2S-Usta Gemici-Lise")*($AC$43)
+COUNTIF($A$1,"2S-Usta Gemici-Ortaokul")*($AC$44)
+COUNTIF($A$1,"2S-Usta Gemici-İlkokul")*($AC$45)
+COUNTIF($A$1,"2S-Yağcı-Üniversite")*($AC$46)
+COUNTIF($A$1,"2S-Yağcı-MYO")*($AC$47)
+COUNTIF($A$1,"2S-Yağcı-Lise")*($AC$48)
+COUNTIF($A$1,"2S-Yağcı-Ortaokul")*($AC$49)
+COUNTIF($A$1,"2S-Yağcı-İlkokul")*($AC$50)
+COUNTIF($A$1,"2S-Gemici-Üniversite")*($AC$51)
+COUNTIF($A$1,"2S-Gemici-MYO")*($AC$52)
+COUNTIF($A$1,"2S-Gemici-Lise")*($AC$53)
+COUNTIF($A$1,"2S-Gemici-Ortaokul")*($AC$54)
+COUNTIF($A$1,"2S-Gemici-İlkokul")*($AC$55)
+COUNTIF($A$1,"2S-Gemi Salon Sorumlusu-Üniversite")*($AC$56)
+COUNTIF($A$1,"2S-Gemi Salon Sorumlusu-MYO")*($AC$57)
+COUNTIF($A$1,"2S-Gemi Salon Sorumlusu-Lise")*($AC$58)
+COUNTIF($A$1,"2S-Gemi Salon Sorumlusu-Ortaokul")*($AC$59)
+COUNTIF($A$1,"2S-Gemi Salon Sorumlusu-İlkokul")*($AC$60)</f>
        <v>268.5</v>
      </c>
      <c r="AO22" s="33">
        <f t="shared" si="112"/>
        <v>318.72841015657457</v>
      </c>
      <c r="AP22" s="33">
        <f>COUNTIF($A$1,"1S-Kaptan-Üniversite")*($AC$1)
+COUNTIF($A$1,"1S-Kaptan-MYO")*($AC$2)
+COUNTIF($A$1,"1S-Kaptan-Lise")*($AC$3)
+COUNTIF($A$1,"1S-Kaptan-Ortaokul")*($AC$4)
+COUNTIF($A$1,"1S-Kaptan-İlkokul")*($AC$5)
+COUNTIF($A$1,"1S-Baş Makinist-Üniversite")*($AC$6)
+COUNTIF($A$1,"1S-Baş Makinist-MYO")*($AC$7)
+COUNTIF($A$1,"1S-Baş Makinist-Lise")*($AC$8)
+COUNTIF($A$1,"1S-Baş Makinist-Ortaokul")*($AC$9)
+COUNTIF($A$1,"1S-Baş Makinist-İlkokul")*($AC$10)
+COUNTIF($A$1,"1S-İkinci Kaptan-Üniversite")*($AC$11)
+COUNTIF($A$1,"1S-İkinci Kaptan-MYO")*($AC$12)
+COUNTIF($A$1,"1S-İkinci Kaptan-Lise")*($AC$13)
+COUNTIF($A$1,"1S-İkinci Kaptan-Ortaokul")*($AC$14)
+COUNTIF($A$1,"1S-İkinci Kaptan-İlkokul")*($AC$15)
+COUNTIF($A$1,"1S-Usta Gemici-Üniversite")*($AC$16)
+COUNTIF($A$1,"1S-Usta Gemici-MYO")*($AC$17)
+COUNTIF($A$1,"1S-Usta Gemici-Lise")*($AC$18)
+COUNTIF($A$1,"1S-Usta Gemici-Ortaokul")*($AC$19)
+COUNTIF($A$1,"1S-Usta Gemici-İlkokul")*($AC$20)
+COUNTIF($A$1,"1S-Yağcı-Üniversite")*($AC$21)
+COUNTIF($A$1,"1S-Yağcı-MYO")*($AC$22)
+COUNTIF($A$1,"1S-Yağcı-Lise")*($AC$23)
+COUNTIF($A$1,"1S-Yağcı-Ortaokul")*($AC$24)
+COUNTIF($A$1,"1S-Yağcı-İlkokul")*($AC$25)
+COUNTIF($A$1,"2S-Kaptan-Üniversite")*($AC$26)
+COUNTIF($A$1,"2S-Kaptan-MYO")*($AC$27)
+COUNTIF($A$1,"2S-Kaptan-Lise")*($AC$28)
+COUNTIF($A$1,"2S-Kaptan-Ortaokul")*($AC$29)
+COUNTIF($A$1,"2S-Kaptan-İlkokul")*($AC$30)
+COUNTIF($A$1,"2S-Baş Makinist-Üniversite")*($AC$31)
+COUNTIF($A$1,"2S-Baş Makinist-MYO")*($AC$32)
+COUNTIF($A$1,"2S-Baş Makinist-Lise")*($AC$33)
+COUNTIF($A$1,"2S-Baş Makinist-Ortaokul")*($AC$34)
+COUNTIF($A$1,"2S-Baş Makinist-İlkokul")*($AC$35)
+COUNTIF($A$1,"2S-İkinci Kaptan-Üniversite")*($AC$36)
+COUNTIF($A$1,"2S-İkinci Kaptan-MYO")*($AC$37)
+COUNTIF($A$1,"2S-İkinci Kaptan-Lise")*($AC$38)
+COUNTIF($A$1,"2S-İkinci Kaptan-Ortaokul")*($AC$39)
+COUNTIF($A$1,"2S-İkinci Kaptan-İlkokul")*($AC$40)
+COUNTIF($A$1,"2S-Usta Gemici-Üniversite")*($AC$41)
+COUNTIF($A$1,"2S-Usta Gemici-MYO")*($AC$42)
+COUNTIF($A$1,"2S-Usta Gemici-Lise")*($AC$43)
+COUNTIF($A$1,"2S-Usta Gemici-Ortaokul")*($AC$44)
+COUNTIF($A$1,"2S-Usta Gemici-İlkokul")*($AC$45)
+COUNTIF($A$1,"2S-Yağcı-Üniversite")*($AC$46)
+COUNTIF($A$1,"2S-Yağcı-MYO")*($AC$47)
+COUNTIF($A$1,"2S-Yağcı-Lise")*($AC$48)
+COUNTIF($A$1,"2S-Yağcı-Ortaokul")*($AC$49)
+COUNTIF($A$1,"2S-Yağcı-İlkokul")*($AC$50)
+COUNTIF($A$1,"2S-Gemici-Üniversite")*($AC$51)
+COUNTIF($A$1,"2S-Gemici-MYO")*($AC$52)
+COUNTIF($A$1,"2S-Gemici-Lise")*($AC$53)
+COUNTIF($A$1,"2S-Gemici-Ortaokul")*($AC$54)
+COUNTIF($A$1,"2S-Gemici-İlkokul")*($AC$55)
+COUNTIF($A$1,"2S-Gemi Salon Sorumlusu-Üniversite")*($AC$56)
+COUNTIF($A$1,"2S-Gemi Salon Sorumlusu-MYO")*($AC$57)
+COUNTIF($A$1,"2S-Gemi Salon Sorumlusu-Lise")*($AC$58)
+COUNTIF($A$1,"2S-Gemi Salon Sorumlusu-Ortaokul")*($AC$59)
+COUNTIF($A$1,"2S-Gemi Salon Sorumlusu-İlkokul")*($AC$60)</f>
        <v>268.5</v>
      </c>
      <c r="AQ22" s="36" t="s">
        <v>0</v>
      </c>
      <c r="AR22" s="37">
        <f t="shared" si="113"/>
        <v>9880.5807148538115</v>
      </c>
      <c r="AS22" s="38">
        <f t="shared" si="114"/>
        <v>8323.5</v>
      </c>
      <c r="AT22" s="50">
        <v>30</v>
      </c>
      <c r="AU22" s="39">
        <f>COUNTIF(H17,"Yok")*(0)
+COUNTIF(H17,"Askerlik Yardımı")*($BX$2/CM13)
+COUNTIF(H17,"Cenaze Yardımı (Anne-Baba)")*($BX$3+$BX$3*0.00759)
+COUNTIF(H17,"Cenaze Yardımı (Eş-Çocuk)")*($BX$4+$BX$4*0.00759)
+COUNTIF(H17,"Cenaze Yardımı (İşçi-İş Kazası Sonucu)")*($BX$5+$BX$5*0.00759)
+COUNTIF(H17,"Cenaze Yardımı (İşçi-Tabii Sebepler Sonucu)")*($BX$6+$BX$6*0.00759)
+COUNTIF(H17,"Çikolata Yardımı")*($BX$7+$BX$7*0.00759)
+COUNTIF(H17,"Doğal Afet Yardımı")*($BX$8+$BX$8*0.00759)
+COUNTIF(H17,"Doğum Yardımı (İşveren)")*($BX$9+$BX$9*0.00759)
+COUNTIF(H17,"Eğitim Yardımı (Çocuk-İlköğretim)")*($BX$10/CM13)
+COUNTIF(H17,"Eğitim Yardımı (Çocuk-Ortaöğretim)")*($BX$11/CM13)
+COUNTIF(H17,"Eğitim Yardımı (Çocuk-Lise)")*($BX$12/CM13)
+COUNTIF(H17,"Eğitim Yardımı (Çocuk-Yükseköğretim)")*($BX$13/CM13)
+COUNTIF(H17,"Eğitim Yardımı (İşçi-Lise)")*($BX$14/CM13)
+COUNTIF(H17,"Eğitim Yardımı (İşçi-Yükseköğretim)")*($BX$15/CM13)
+COUNTIF(H17,"Evlilik Yardımı")*($BX$16+$BX$16*0.00759)
+COUNTIF(H17,"Gıda Yardımı")*($BX$17/CM13)
+COUNTIF(H17,"İş Kazası veya Meslek Hastalığı Tazminatı")*($BX$18+$BX$18*0.00759)
+COUNTIF(H17,"Temizlik Yardımı")*($BX$19/CM13)
+COUNTIF(I17,"Yok")*(0)
+COUNTIF(I17,"Askerlik Yardımı")*($BX$2/CM13)
+COUNTIF(I17,"Cenaze Yardımı (Anne-Baba)")*($BX$3+$BX$3*0.00759)
+COUNTIF(I17,"Cenaze Yardımı (Eş-Çocuk)")*($BX$4+$BX$4*0.00759)
+COUNTIF(I17,"Cenaze Yardımı (İşçi-İş Kazası Sonucu)")*($BX$5+$BX$5*0.00759)
+COUNTIF(I17,"Cenaze Yardımı (İşçi-Tabii Sebepler Sonucu)")*($BX$6+$BX$6*0.00759)
+COUNTIF(I17,"Çikolata Yardımı")*($BX$7+$BX$7*0.00759)
+COUNTIF(I17,"Doğal Afet Yardımı")*($BX$8+$BX$8*0.00759)
+COUNTIF(I17,"Doğum Yardımı (İşveren)")*($BX$9+$BX$9*0.00759)
+COUNTIF(I17,"Eğitim Yardımı (Çocuk-İlköğretim)")*($BX$10/CM13)
+COUNTIF(I17,"Eğitim Yardımı (Çocuk-Ortaöğretim)")*($BX$11/CM13)
+COUNTIF(I17,"Eğitim Yardımı (Çocuk-Lise)")*($BX$12/CM13)
+COUNTIF(I17,"Eğitim Yardımı (Çocuk-Yükseköğretim)")*($BX$13/CM13)
+COUNTIF(I17,"Eğitim Yardımı (İşçi-Lise)")*($BX$14/CM13)
+COUNTIF(I17,"Eğitim Yardımı (İşçi-Yükseköğretim)")*($BX$15/CM13)
+COUNTIF(I17,"Evlilik Yardımı")*($BX$16+$BX$16*0.00759)
+COUNTIF(I17,"Gıda Yardımı")*($BX$17/CM13)
+COUNTIF(I17,"İş Kazası veya Meslek Hastalığı Tazminatı")*($BX$18+$BX$18*0.00759)
+COUNTIF(I17,"Temizlik Yardımı")*($BX$19/CM13)
+COUNTIF(J17,"Yok")*(0)
+COUNTIF(J17,"Askerlik Yardımı")*($BX$2/CM13)
+COUNTIF(J17,"Cenaze Yardımı (Anne-Baba)")*($BX$3+$BX$3*0.00759)
+COUNTIF(J17,"Cenaze Yardımı (Eş-Çocuk)")*($BX$4+$BX$4*0.00759)
+COUNTIF(J17,"Cenaze Yardımı (İşçi-İş Kazası Sonucu)")*($BX$5+$BX$5*0.00759)
+COUNTIF(J17,"Cenaze Yardımı (İşçi-Tabii Sebepler Sonucu)")*($BX$6+$BX$6*0.00759)
+COUNTIF(J17,"Çikolata Yardımı")*($BX$7+$BX$7*0.00759)
+COUNTIF(J17,"Doğal Afet Yardımı")*($BX$8+$BX$8*0.00759)
+COUNTIF(J17,"Doğum Yardımı (İşveren)")*($BX$9+$BX$9*0.00759)
+COUNTIF(J17,"Eğitim Yardımı (Çocuk-İlköğretim)")*($BX$10/CM13)
+COUNTIF(J17,"Eğitim Yardımı (Çocuk-Ortaöğretim)")*($BX$11/CM13)
+COUNTIF(J17,"Eğitim Yardımı (Çocuk-Lise)")*($BX$12/CM13)
+COUNTIF(J17,"Eğitim Yardımı (Çocuk-Yükseköğretim)")*($BX$13/CM13)
+COUNTIF(J17,"Eğitim Yardımı (İşçi-Lise)")*($BX$14/CM13)
+COUNTIF(J17,"Eğitim Yardımı (İşçi-Yükseköğretim)")*($BX$15/CM13)
+COUNTIF(J17,"Evlilik Yardımı")*($BX$16+$BX$16*0.00759)
+COUNTIF(J17,"Gıda Yardımı")*($BX$17/CM13)
+COUNTIF(J17,"İş Kazası veya Meslek Hastalığı Tazminatı")*($BX$18+$BX$18*0.00759)
+COUNTIF(J17,"Temizlik Yardımı")*($BX$19/CM13)</f>
        <v>0</v>
      </c>
      <c r="AV22" s="39">
        <f>COUNTIF(H17,"Yok")*(0)
+COUNTIF(H17,"Askerlik Yardımı")*(0)
+COUNTIF(H17,"Cenaze Yardımı (Anne-Baba)")*($BX$3+$BX$3*0.00759)
+COUNTIF(H17,"Cenaze Yardımı (Eş-Çocuk)")*($BX$4+$BX$4*0.00759)
+COUNTIF(H17,"Cenaze Yardımı (İşçi-İş Kazası Sonucu)")*($BX$5+$BX$5*0.00759)
+COUNTIF(H17,"Cenaze Yardımı (İşçi-Tabii Sebepler Sonucu)")*($BX$6+$BX$6*0.00759)
+COUNTIF(H17,"Çikolata Yardımı")*($BX$7+$BX$7*0.00759)
+COUNTIF(H17,"Doğal Afet Yardımı")*($BX$8+$BX$8*0.00759)
+COUNTIF(H17,"Doğum Yardımı (İşveren)")*($BX$9+$BX$9*0.00759)
+COUNTIF(H17,"Eğitim Yardımı (Çocuk-İlköğretim)")*(0)
+COUNTIF(H17,"Eğitim Yardımı (Çocuk-Ortaöğretim)")*(0)
+COUNTIF(H17,"Eğitim Yardımı (Çocuk-Lise)")*(0)
+COUNTIF(H17,"Eğitim Yardımı (Çocuk-Yükseköğretim)")*(0)
+COUNTIF(H17,"Eğitim Yardımı (İşçi-Lise)")*(0)
+COUNTIF(H17,"Eğitim Yardımı (İşçi-Yükseköğretim)")*(0)
+COUNTIF(H17,"Evlilik Yardımı")*($BX$16+$BX$16*0.00759)
+COUNTIF(H17,"Gıda Yardımı")*(0)
+COUNTIF(H17,"İş Kazası veya Meslek Hastalığı Tazminatı")*($BX$18+$BX$18*0.00759)
+COUNTIF(H17,"Temizlik Yardımı")*(0)
+COUNTIF(I17,"Yok")*(0)
+COUNTIF(I17,"Askerlik Yardımı")*(0)
+COUNTIF(I17,"Cenaze Yardımı (Anne-Baba)")*($BX$3+$BX$3*0.00759)
+COUNTIF(I17,"Cenaze Yardımı (Eş-Çocuk)")*($BX$4+$BX$4*0.00759)
+COUNTIF(I17,"Cenaze Yardımı (İşçi-İş Kazası Sonucu)")*($BX$5+$BX$5*0.00759)
+COUNTIF(I17,"Cenaze Yardımı (İşçi-Tabii Sebepler Sonucu)")*($BX$6+$BX$6*0.00759)
+COUNTIF(I17,"Çikolata Yardımı")*($BX$7+$BX$7*0.00759)
+COUNTIF(I17,"Doğal Afet Yardımı")*($BX$8+$BX$8*0.00759)
+COUNTIF(I17,"Doğum Yardımı (İşveren)")*($BX$9+$BX$9*0.00759)
+COUNTIF(I17,"Eğitim Yardımı (Çocuk-İlköğretim)")*(0)
+COUNTIF(I17,"Eğitim Yardımı (Çocuk-Ortaöğretim)")*(0)
+COUNTIF(I17,"Eğitim Yardımı (Çocuk-Lise)")*(0)
+COUNTIF(I17,"Eğitim Yardımı (Çocuk-Yükseköğretim)")*(0)
+COUNTIF(I17,"Eğitim Yardımı (İşçi-Lise)")*(0)
+COUNTIF(I17,"Eğitim Yardımı (İşçi-Yükseköğretim)")*(0)
+COUNTIF(I17,"Evlilik Yardımı")*($BX$16+$BX$16*0.00759)
+COUNTIF(I17,"Gıda Yardımı")*(0)
+COUNTIF(I17,"İş Kazası veya Meslek Hastalığı Tazminatı")*($BX$18+$BX$18*0.00759)
+COUNTIF(I17,"Temizlik Yardımı")*(0)
+COUNTIF(J17,"Yok")*(0)
+COUNTIF(J17,"Askerlik Yardımı")*(0)
+COUNTIF(J17,"Cenaze Yardımı (Anne-Baba)")*($BX$3+$BX$3*0.00759)
+COUNTIF(J17,"Cenaze Yardımı (Eş-Çocuk)")*($BX$4+$BX$4*0.00759)
+COUNTIF(J17,"Cenaze Yardımı (İşçi-İş Kazası Sonucu)")*($BX$5+$BX$5*0.00759)
+COUNTIF(J17,"Cenaze Yardımı (İşçi-Tabii Sebepler Sonucu)")*($BX$6+$BX$6*0.00759)
+COUNTIF(J17,"Çikolata Yardımı")*($BX$7+$BX$7*0.00759)
+COUNTIF(J17,"Doğal Afet Yardımı")*($BX$8+$BX$8*0.00759)
+COUNTIF(J17,"Doğum Yardımı (İşveren)")*($BX$9+$BX$9*0.00759)
+COUNTIF(J17,"Eğitim Yardımı (Çocuk-İlköğretim)")*(0)
+COUNTIF(J17,"Eğitim Yardımı (Çocuk-Ortaöğretim)")*(0)
+COUNTIF(J17,"Eğitim Yardımı (Çocuk-Lise)")*(0)
+COUNTIF(J17,"Eğitim Yardımı (Çocuk-Yükseköğretim)")*(0)
+COUNTIF(J17,"Eğitim Yardımı (İşçi-Lise)")*(0)
+COUNTIF(J17,"Eğitim Yardımı (İşçi-Yükseköğretim)")*(0)
+COUNTIF(J17,"Evlilik Yardımı")*($BX$16+$BX$16*0.00759)
+COUNTIF(J17,"Gıda Yardımı")*(0)
+COUNTIF(J17,"İş Kazası veya Meslek Hastalığı Tazminatı")*($BX$18+$BX$18*0.00759)
+COUNTIF(J17,"Temizlik Yardımı")*(0)</f>
        <v>0</v>
      </c>
      <c r="AW22" s="39">
        <f>COUNTIF(H17,"Yok")*(0)
+COUNTIF(H17,"Askerlik Yardımı")*($BX$2)
+COUNTIF(H17,"Cenaze Yardımı (Anne-Baba)")*($BX$3)
+COUNTIF(H17,"Cenaze Yardımı (Eş-Çocuk)")*($BX$4)
+COUNTIF(H17,"Cenaze Yardımı (İşçi-İş Kazası Sonucu)")*($BX$5)
+COUNTIF(H17,"Cenaze Yardımı (İşçi-Tabii Sebepler Sonucu)")*($BX$6)
+COUNTIF(H17,"Çikolata Yardımı")*($BX$7)
+COUNTIF(H17,"Doğal Afet Yardımı")*($BX$8)
+COUNTIF(H17,"Doğum Yardımı (İşveren)")*($BX$9)
+COUNTIF(H17,"Eğitim Yardımı (Çocuk-İlköğretim)")*($BX$10)
+COUNTIF(H17,"Eğitim Yardımı (Çocuk-Ortaöğretim)")*($BX$11)
+COUNTIF(H17,"Eğitim Yardımı (Çocuk-Lise)")*($BX$12)
+COUNTIF(H17,"Eğitim Yardımı (Çocuk-Yükseköğretim)")*($BX$13)
+COUNTIF(H17,"Eğitim Yardımı (İşçi-Lise)")*($BX$14)
+COUNTIF(H17,"Eğitim Yardımı (İşçi-Yükseköğretim)")*($BX$15)
+COUNTIF(H17,"Evlilik Yardımı")*($BX$16)
+COUNTIF(H17,"Gıda Yardımı")*($BX$17)
+COUNTIF(H17,"İş Kazası veya Meslek Hastalığı Tazminatı")*($BX$18)
+COUNTIF(H17,"Temizlik Yardımı")*($BX$19)
+COUNTIF(I17,"Yok")*(0)
+COUNTIF(I17,"Askerlik Yardımı")*($BX$2)
+COUNTIF(I17,"Cenaze Yardımı (Anne-Baba)")*($BX$3)
+COUNTIF(I17,"Cenaze Yardımı (Eş-Çocuk)")*($BX$4)
+COUNTIF(I17,"Cenaze Yardımı (İşçi-İş Kazası Sonucu)")*($BX$5)
+COUNTIF(I17,"Cenaze Yardımı (İşçi-Tabii Sebepler Sonucu)")*($BX$6)
+COUNTIF(I17,"Çikolata Yardımı")*($BX$7)
+COUNTIF(I17,"Doğal Afet Yardımı")*($BX$8)
+COUNTIF(I17,"Doğum Yardımı (İşveren)")*($BX$9)
+COUNTIF(I17,"Eğitim Yardımı (Çocuk-İlköğretim)")*($BX$10)
+COUNTIF(I17,"Eğitim Yardımı (Çocuk-Ortaöğretim)")*($BX$11)
+COUNTIF(I17,"Eğitim Yardımı (Çocuk-Lise)")*($BX$12)
+COUNTIF(I17,"Eğitim Yardımı (Çocuk-Yükseköğretim)")*($BX$13)
+COUNTIF(I17,"Eğitim Yardımı (İşçi-Lise)")*($BX$14)
+COUNTIF(I17,"Eğitim Yardımı (İşçi-Yükseköğretim)")*($BX$15)
+COUNTIF(I17,"Evlilik Yardımı")*($BX$16)
+COUNTIF(I17,"Gıda Yardımı")*($BX$17)
+COUNTIF(I17,"İş Kazası veya Meslek Hastalığı Tazminatı")*($BX$18)
+COUNTIF(I17,"Temizlik Yardımı")*($BX$19)
+COUNTIF(J17,"Yok")*(0)
+COUNTIF(J17,"Askerlik Yardımı")*($BX$2)
+COUNTIF(J17,"Cenaze Yardımı (Anne-Baba)")*($BX$3)
+COUNTIF(J17,"Cenaze Yardımı (Eş-Çocuk)")*($BX$4)
+COUNTIF(J17,"Cenaze Yardımı (İşçi-İş Kazası Sonucu)")*($BX$5)
+COUNTIF(J17,"Cenaze Yardımı (İşçi-Tabii Sebepler Sonucu)")*($BX$6)
+COUNTIF(J17,"Çikolata Yardımı")*($BX$7)
+COUNTIF(J17,"Doğal Afet Yardımı")*($BX$8)
+COUNTIF(J17,"Doğum Yardımı (İşveren)")*($BX$9)
+COUNTIF(J17,"Eğitim Yardımı (Çocuk-İlköğretim)")*($BX$10)
+COUNTIF(J17,"Eğitim Yardımı (Çocuk-Ortaöğretim)")*($BX$11)
+COUNTIF(J17,"Eğitim Yardımı (Çocuk-Lise)")*($BX$12)
+COUNTIF(J17,"Eğitim Yardımı (Çocuk-Yükseköğretim)")*($BX$13)
+COUNTIF(J17,"Eğitim Yardımı (İşçi-Lise)")*($BX$14)
+COUNTIF(J17,"Eğitim Yardımı (İşçi-Yükseköğretim)")*($BX$15)
+COUNTIF(J17,"Evlilik Yardımı")*($BX$16)
+COUNTIF(J17,"Gıda Yardımı")*($BX$17)
+COUNTIF(J17,"İş Kazası veya Meslek Hastalığı Tazminatı")*($BX$18)
+COUNTIF(J17,"Temizlik Yardımı")*($BX$19)</f>
        <v>0</v>
      </c>
      <c r="AX22" s="40" t="s">
        <v>12</v>
      </c>
      <c r="AY22" s="38">
        <f>COUNTIF(AX22,"Var")*(AK14*0.9*-1)</f>
        <v>-286.85556914091711</v>
      </c>
      <c r="AZ22" s="38">
        <f>(AY22*-1)</f>
        <v>286.85556914091711</v>
      </c>
      <c r="BA22" s="38">
        <f>(AU20+AU21+AU22+AU23+AU24+BG1+BG2+BG3+BG4+BG5+BA20+BA21)</f>
        <v>0</v>
      </c>
      <c r="BB22" s="38">
        <f>(AV20+AV21+AV22+AV23+AV24+BH1+BH2+BH3+BH4+BH5+BB20+BB21)</f>
        <v>0</v>
      </c>
      <c r="BC22" s="38">
        <f>(AW20+AW21+AW22+AW23+AW24+BI1+BI2+BI3+BI4+BI5+BC20+BC21)</f>
        <v>0</v>
      </c>
      <c r="BD22" s="36" t="s">
        <v>0</v>
      </c>
      <c r="BE22" s="38">
        <f>(AY20+AY21+AY22+AY23+AY24+BK1+BK2+BK3+BK4+BK5+BE20+BE21)</f>
        <v>-3552.3082584489744</v>
      </c>
      <c r="BF22" s="38">
        <f>(AZ20+AZ21+AZ22+AZ23+AZ24+BL1+BL2+BL3+BL4+BL5+BF20+BF21)</f>
        <v>3552.3082584489744</v>
      </c>
      <c r="BG22" s="39">
        <f ca="1">(CS16*K20+BH22)*-1</f>
        <v>0</v>
      </c>
      <c r="BH22" s="39">
        <f ca="1">(AV6+AX6+AZ6-BE6)*(K20*-1)</f>
        <v>0</v>
      </c>
      <c r="BI22" s="39">
        <f ca="1">(BG22+BH22)</f>
        <v>0</v>
      </c>
      <c r="BJ22" s="38" t="s">
        <v>0</v>
      </c>
      <c r="BK22" s="38">
        <f>(5004)</f>
        <v>5004</v>
      </c>
      <c r="BL22" s="38">
        <f>(5004)</f>
        <v>5004</v>
      </c>
      <c r="BM22" s="38">
        <f>(BK22-BL22)</f>
        <v>0</v>
      </c>
      <c r="BN22" s="38">
        <f>(BM22*0.00759*-1)</f>
        <v>0</v>
      </c>
      <c r="BO22" s="38">
        <f>(0)</f>
        <v>0</v>
      </c>
      <c r="BP22" s="38">
        <f>(BK22-BO22)</f>
        <v>5004</v>
      </c>
      <c r="BQ22" s="38">
        <f>(BP22*0.14*-1)</f>
        <v>-700.56000000000006</v>
      </c>
      <c r="BR22" s="38">
        <f>(BP22*0.01*-1)</f>
        <v>-50.04</v>
      </c>
      <c r="BU22" s="38">
        <f t="shared" ca="1" si="88"/>
        <v>-3329.5938256012778</v>
      </c>
      <c r="BV22" s="38">
        <f t="shared" ca="1" si="89"/>
        <v>-237.82813040009125</v>
      </c>
      <c r="BW22" s="52" t="s">
        <v>0</v>
      </c>
      <c r="BX22" s="52" t="s">
        <v>0</v>
      </c>
      <c r="CJ22" s="38">
        <f>(0)</f>
        <v>0</v>
      </c>
      <c r="CK22" s="38">
        <f>(0)</f>
        <v>0</v>
      </c>
      <c r="CL22" s="38">
        <f t="shared" si="59"/>
        <v>0</v>
      </c>
      <c r="CM22" s="44">
        <f t="shared" si="70"/>
        <v>0.84240999999999999</v>
      </c>
      <c r="CN22" s="44">
        <f t="shared" si="60"/>
        <v>0.84240999999999999</v>
      </c>
      <c r="CO22" s="44">
        <f t="shared" si="61"/>
        <v>0.99241000000000001</v>
      </c>
      <c r="CP22" s="44">
        <f>IF(CC14=0,CB14,(VLOOKUP($CB14,$BM$1:$BP$5,2,0)-CA13)/BZ14*CB13+(CA14-VLOOKUP($CB14,$BM$1:$BP$5,2,0))/BZ14*CB14)</f>
        <v>0.19109829374494347</v>
      </c>
      <c r="CQ22" s="38">
        <f>(ROUND(BZ14*CP22,2))</f>
        <v>1051.1099999999999</v>
      </c>
      <c r="CR22" s="44">
        <f>(100+(100*0.00759*-1)+(100*0.01*-1)+(100*0.01*-1)+(100+100*0.14*-1+100*0.01*-1)*CP22*-1)/100</f>
        <v>0.8099764503167981</v>
      </c>
      <c r="CS22" s="38">
        <f>BK24</f>
        <v>6471</v>
      </c>
      <c r="CT22" s="38">
        <f>BK24+BN24+BQ24+BR24</f>
        <v>5500.3499999999995</v>
      </c>
      <c r="CU22" s="38" t="s">
        <v>0</v>
      </c>
      <c r="CV22" s="38">
        <f ca="1">(AR22+AT8+AV8+AX8+AZ8+AE11+AK11+AN11+AQ11+BA1+BD1+BG3)</f>
        <v>15126.18548176846</v>
      </c>
      <c r="CW22" s="38">
        <f ca="1">(AR22+AT8+AV8+AX8+AZ8+AE11+AK11+AN11+AQ11+BA1+BD1+BG3)</f>
        <v>15126.18548176846</v>
      </c>
      <c r="CX22" s="38">
        <f ca="1">(CW22*0.00759*-1)</f>
        <v>-114.80774780662261</v>
      </c>
      <c r="CY22" s="38">
        <f>(BL24)</f>
        <v>6471</v>
      </c>
      <c r="CZ22" s="38">
        <f>(CY22*0.00759*-1)</f>
        <v>-49.114890000000003</v>
      </c>
      <c r="DA22" s="38">
        <f ca="1">(CW22-CY22)</f>
        <v>8655.1854817684598</v>
      </c>
      <c r="DB22" s="38">
        <f ca="1">(DA22*0.00759*-1)</f>
        <v>-65.692857806622612</v>
      </c>
      <c r="DF22" s="42">
        <v>20</v>
      </c>
      <c r="DG22" s="46">
        <v>10</v>
      </c>
      <c r="DH22" s="47">
        <v>0.22</v>
      </c>
      <c r="DI22" s="55"/>
    </row>
    <row r="23" spans="1:113" ht="39.950000000000003" customHeight="1" x14ac:dyDescent="0.25">
      <c r="A23" s="5">
        <f t="shared" si="79"/>
        <v>0</v>
      </c>
      <c r="B23" s="6" t="s">
        <v>21</v>
      </c>
      <c r="C23" s="14">
        <v>0</v>
      </c>
      <c r="D23" s="15">
        <v>40</v>
      </c>
      <c r="E23" s="15">
        <v>0</v>
      </c>
      <c r="F23" s="14">
        <v>20</v>
      </c>
      <c r="G23" s="14">
        <v>0</v>
      </c>
      <c r="H23" s="16" t="s">
        <v>1</v>
      </c>
      <c r="I23" s="16" t="s">
        <v>1</v>
      </c>
      <c r="J23" s="16" t="s">
        <v>1</v>
      </c>
      <c r="K23" s="17">
        <v>0</v>
      </c>
      <c r="L23" s="7">
        <f ca="1">(CW23-BD2+BK4+BG25+CP19+BU25+BV25+CL19-M23)</f>
        <v>19515.933485366153</v>
      </c>
      <c r="M23" s="7">
        <f ca="1">(AW9+AY9+BA9+BH25)</f>
        <v>2872.625</v>
      </c>
      <c r="N23" s="8">
        <f t="shared" ca="1" si="82"/>
        <v>22388.558485366153</v>
      </c>
      <c r="O23" s="18" t="s">
        <v>0</v>
      </c>
      <c r="P23" s="19" t="s">
        <v>0</v>
      </c>
      <c r="Q23" s="19" t="s">
        <v>0</v>
      </c>
      <c r="R23" s="72"/>
      <c r="S23" s="71"/>
      <c r="T23" s="21" t="s">
        <v>0</v>
      </c>
      <c r="U23" s="26" t="s">
        <v>0</v>
      </c>
      <c r="V23" s="60"/>
      <c r="W23" s="61"/>
      <c r="X23" s="63"/>
      <c r="Y23" s="62"/>
      <c r="Z23" s="30"/>
      <c r="AA23" s="52" t="s">
        <v>81</v>
      </c>
      <c r="AB23" s="38">
        <v>201</v>
      </c>
      <c r="AC23" s="38">
        <v>208.27</v>
      </c>
      <c r="AD23" s="38">
        <v>208.27</v>
      </c>
      <c r="AE23" s="34">
        <f>(AF22+1)</f>
        <v>44805</v>
      </c>
      <c r="AF23" s="34">
        <f t="shared" si="106"/>
        <v>44834</v>
      </c>
      <c r="AG23" s="35">
        <f t="shared" si="107"/>
        <v>30</v>
      </c>
      <c r="AH23" s="35">
        <f t="shared" si="108"/>
        <v>26</v>
      </c>
      <c r="AI23" s="35">
        <f t="shared" si="109"/>
        <v>4</v>
      </c>
      <c r="AJ23" s="36" t="s">
        <v>0</v>
      </c>
      <c r="AK23" s="33">
        <f t="shared" si="110"/>
        <v>349.29547370045464</v>
      </c>
      <c r="AL23" s="33">
        <f>COUNTIF($A$1,"1S-Kaptan-Üniversite")*($AD$1)
+COUNTIF($A$1,"1S-Kaptan-MYO")*($AD$2)
+COUNTIF($A$1,"1S-Kaptan-Lise")*($AD$3)
+COUNTIF($A$1,"1S-Kaptan-Ortaokul")*($AD$4)
+COUNTIF($A$1,"1S-Kaptan-İlkokul")*($AD$5)
+COUNTIF($A$1,"1S-Baş Makinist-Üniversite")*($AD$6)
+COUNTIF($A$1,"1S-Baş Makinist-MYO")*($AD$7)
+COUNTIF($A$1,"1S-Baş Makinist-Lise")*($AD$8)
+COUNTIF($A$1,"1S-Baş Makinist-Ortaokul")*($AD$9)
+COUNTIF($A$1,"1S-Baş Makinist-İlkokul")*($AD$10)
+COUNTIF($A$1,"1S-İkinci Kaptan-Üniversite")*($AD$11)
+COUNTIF($A$1,"1S-İkinci Kaptan-MYO")*($AD$12)
+COUNTIF($A$1,"1S-İkinci Kaptan-Lise")*($AD$13)
+COUNTIF($A$1,"1S-İkinci Kaptan-Ortaokul")*($AD$14)
+COUNTIF($A$1,"1S-İkinci Kaptan-İlkokul")*($AD$15)
+COUNTIF($A$1,"1S-Usta Gemici-Üniversite")*($AD$16)
+COUNTIF($A$1,"1S-Usta Gemici-MYO")*($AD$17)
+COUNTIF($A$1,"1S-Usta Gemici-Lise")*($AD$18)
+COUNTIF($A$1,"1S-Usta Gemici-Ortaokul")*($AD$19)
+COUNTIF($A$1,"1S-Usta Gemici-İlkokul")*($AD$20)
+COUNTIF($A$1,"1S-Yağcı-Üniversite")*($AD$21)
+COUNTIF($A$1,"1S-Yağcı-MYO")*($AD$22)
+COUNTIF($A$1,"1S-Yağcı-Lise")*($AD$23)
+COUNTIF($A$1,"1S-Yağcı-Ortaokul")*($AD$24)
+COUNTIF($A$1,"1S-Yağcı-İlkokul")*($AD$25)
+COUNTIF($A$1,"2S-Kaptan-Üniversite")*($AD$26)
+COUNTIF($A$1,"2S-Kaptan-MYO")*($AD$27)
+COUNTIF($A$1,"2S-Kaptan-Lise")*($AD$28)
+COUNTIF($A$1,"2S-Kaptan-Ortaokul")*($AD$29)
+COUNTIF($A$1,"2S-Kaptan-İlkokul")*($AD$30)
+COUNTIF($A$1,"2S-Baş Makinist-Üniversite")*($AD$31)
+COUNTIF($A$1,"2S-Baş Makinist-MYO")*($AD$32)
+COUNTIF($A$1,"2S-Baş Makinist-Lise")*($AD$33)
+COUNTIF($A$1,"2S-Baş Makinist-Ortaokul")*($AD$34)
+COUNTIF($A$1,"2S-Baş Makinist-İlkokul")*($AD$35)
+COUNTIF($A$1,"2S-İkinci Kaptan-Üniversite")*($AD$36)
+COUNTIF($A$1,"2S-İkinci Kaptan-MYO")*($AD$37)
+COUNTIF($A$1,"2S-İkinci Kaptan-Lise")*($AD$38)
+COUNTIF($A$1,"2S-İkinci Kaptan-Ortaokul")*($AD$39)
+COUNTIF($A$1,"2S-İkinci Kaptan-İlkokul")*($AD$40)
+COUNTIF($A$1,"2S-Usta Gemici-Üniversite")*($AD$41)
+COUNTIF($A$1,"2S-Usta Gemici-MYO")*($AD$42)
+COUNTIF($A$1,"2S-Usta Gemici-Lise")*($AD$43)
+COUNTIF($A$1,"2S-Usta Gemici-Ortaokul")*($AD$44)
+COUNTIF($A$1,"2S-Usta Gemici-İlkokul")*($AD$45)
+COUNTIF($A$1,"2S-Yağcı-Üniversite")*($AD$46)
+COUNTIF($A$1,"2S-Yağcı-MYO")*($AD$47)
+COUNTIF($A$1,"2S-Yağcı-Lise")*($AD$48)
+COUNTIF($A$1,"2S-Yağcı-Ortaokul")*($AD$49)
+COUNTIF($A$1,"2S-Yağcı-İlkokul")*($AD$50)
+COUNTIF($A$1,"2S-Gemici-Üniversite")*($AD$51)
+COUNTIF($A$1,"2S-Gemici-MYO")*($AD$52)
+COUNTIF($A$1,"2S-Gemici-Lise")*($AD$53)
+COUNTIF($A$1,"2S-Gemici-Ortaokul")*($AD$54)
+COUNTIF($A$1,"2S-Gemici-İlkokul")*($AD$55)
+COUNTIF($A$1,"2S-Gemi Salon Sorumlusu-Üniversite")*($AD$56)
+COUNTIF($A$1,"2S-Gemi Salon Sorumlusu-MYO")*($AD$57)
+COUNTIF($A$1,"2S-Gemi Salon Sorumlusu-Lise")*($AD$58)
+COUNTIF($A$1,"2S-Gemi Salon Sorumlusu-Ortaokul")*($AD$59)
+COUNTIF($A$1,"2S-Gemi Salon Sorumlusu-İlkokul")*($AD$60)</f>
        <v>294.25</v>
      </c>
      <c r="AM23" s="33">
        <f t="shared" si="111"/>
        <v>349.29547370045464</v>
      </c>
      <c r="AN23" s="33">
        <f>COUNTIF($A$1,"1S-Kaptan-Üniversite")*($AD$1)
+COUNTIF($A$1,"1S-Kaptan-MYO")*($AD$2)
+COUNTIF($A$1,"1S-Kaptan-Lise")*($AD$3)
+COUNTIF($A$1,"1S-Kaptan-Ortaokul")*($AD$4)
+COUNTIF($A$1,"1S-Kaptan-İlkokul")*($AD$5)
+COUNTIF($A$1,"1S-Baş Makinist-Üniversite")*($AD$6)
+COUNTIF($A$1,"1S-Baş Makinist-MYO")*($AD$7)
+COUNTIF($A$1,"1S-Baş Makinist-Lise")*($AD$8)
+COUNTIF($A$1,"1S-Baş Makinist-Ortaokul")*($AD$9)
+COUNTIF($A$1,"1S-Baş Makinist-İlkokul")*($AD$10)
+COUNTIF($A$1,"1S-İkinci Kaptan-Üniversite")*($AD$11)
+COUNTIF($A$1,"1S-İkinci Kaptan-MYO")*($AD$12)
+COUNTIF($A$1,"1S-İkinci Kaptan-Lise")*($AD$13)
+COUNTIF($A$1,"1S-İkinci Kaptan-Ortaokul")*($AD$14)
+COUNTIF($A$1,"1S-İkinci Kaptan-İlkokul")*($AD$15)
+COUNTIF($A$1,"1S-Usta Gemici-Üniversite")*($AD$16)
+COUNTIF($A$1,"1S-Usta Gemici-MYO")*($AD$17)
+COUNTIF($A$1,"1S-Usta Gemici-Lise")*($AD$18)
+COUNTIF($A$1,"1S-Usta Gemici-Ortaokul")*($AD$19)
+COUNTIF($A$1,"1S-Usta Gemici-İlkokul")*($AD$20)
+COUNTIF($A$1,"1S-Yağcı-Üniversite")*($AD$21)
+COUNTIF($A$1,"1S-Yağcı-MYO")*($AD$22)
+COUNTIF($A$1,"1S-Yağcı-Lise")*($AD$23)
+COUNTIF($A$1,"1S-Yağcı-Ortaokul")*($AD$24)
+COUNTIF($A$1,"1S-Yağcı-İlkokul")*($AD$25)
+COUNTIF($A$1,"2S-Kaptan-Üniversite")*($AD$26)
+COUNTIF($A$1,"2S-Kaptan-MYO")*($AD$27)
+COUNTIF($A$1,"2S-Kaptan-Lise")*($AD$28)
+COUNTIF($A$1,"2S-Kaptan-Ortaokul")*($AD$29)
+COUNTIF($A$1,"2S-Kaptan-İlkokul")*($AD$30)
+COUNTIF($A$1,"2S-Baş Makinist-Üniversite")*($AD$31)
+COUNTIF($A$1,"2S-Baş Makinist-MYO")*($AD$32)
+COUNTIF($A$1,"2S-Baş Makinist-Lise")*($AD$33)
+COUNTIF($A$1,"2S-Baş Makinist-Ortaokul")*($AD$34)
+COUNTIF($A$1,"2S-Baş Makinist-İlkokul")*($AD$35)
+COUNTIF($A$1,"2S-İkinci Kaptan-Üniversite")*($AD$36)
+COUNTIF($A$1,"2S-İkinci Kaptan-MYO")*($AD$37)
+COUNTIF($A$1,"2S-İkinci Kaptan-Lise")*($AD$38)
+COUNTIF($A$1,"2S-İkinci Kaptan-Ortaokul")*($AD$39)
+COUNTIF($A$1,"2S-İkinci Kaptan-İlkokul")*($AD$40)
+COUNTIF($A$1,"2S-Usta Gemici-Üniversite")*($AD$41)
+COUNTIF($A$1,"2S-Usta Gemici-MYO")*($AD$42)
+COUNTIF($A$1,"2S-Usta Gemici-Lise")*($AD$43)
+COUNTIF($A$1,"2S-Usta Gemici-Ortaokul")*($AD$44)
+COUNTIF($A$1,"2S-Usta Gemici-İlkokul")*($AD$45)
+COUNTIF($A$1,"2S-Yağcı-Üniversite")*($AD$46)
+COUNTIF($A$1,"2S-Yağcı-MYO")*($AD$47)
+COUNTIF($A$1,"2S-Yağcı-Lise")*($AD$48)
+COUNTIF($A$1,"2S-Yağcı-Ortaokul")*($AD$49)
+COUNTIF($A$1,"2S-Yağcı-İlkokul")*($AD$50)
+COUNTIF($A$1,"2S-Gemici-Üniversite")*($AD$51)
+COUNTIF($A$1,"2S-Gemici-MYO")*($AD$52)
+COUNTIF($A$1,"2S-Gemici-Lise")*($AD$53)
+COUNTIF($A$1,"2S-Gemici-Ortaokul")*($AD$54)
+COUNTIF($A$1,"2S-Gemici-İlkokul")*($AD$55)
+COUNTIF($A$1,"2S-Gemi Salon Sorumlusu-Üniversite")*($AD$56)
+COUNTIF($A$1,"2S-Gemi Salon Sorumlusu-MYO")*($AD$57)
+COUNTIF($A$1,"2S-Gemi Salon Sorumlusu-Lise")*($AD$58)
+COUNTIF($A$1,"2S-Gemi Salon Sorumlusu-Ortaokul")*($AD$59)
+COUNTIF($A$1,"2S-Gemi Salon Sorumlusu-İlkokul")*($AD$60)</f>
        <v>294.25</v>
      </c>
      <c r="AO23" s="33">
        <f t="shared" si="112"/>
        <v>349.29547370045464</v>
      </c>
      <c r="AP23" s="33">
        <f>COUNTIF($A$1,"1S-Kaptan-Üniversite")*($AD$1)
+COUNTIF($A$1,"1S-Kaptan-MYO")*($AD$2)
+COUNTIF($A$1,"1S-Kaptan-Lise")*($AD$3)
+COUNTIF($A$1,"1S-Kaptan-Ortaokul")*($AD$4)
+COUNTIF($A$1,"1S-Kaptan-İlkokul")*($AD$5)
+COUNTIF($A$1,"1S-Baş Makinist-Üniversite")*($AD$6)
+COUNTIF($A$1,"1S-Baş Makinist-MYO")*($AD$7)
+COUNTIF($A$1,"1S-Baş Makinist-Lise")*($AD$8)
+COUNTIF($A$1,"1S-Baş Makinist-Ortaokul")*($AD$9)
+COUNTIF($A$1,"1S-Baş Makinist-İlkokul")*($AD$10)
+COUNTIF($A$1,"1S-İkinci Kaptan-Üniversite")*($AD$11)
+COUNTIF($A$1,"1S-İkinci Kaptan-MYO")*($AD$12)
+COUNTIF($A$1,"1S-İkinci Kaptan-Lise")*($AD$13)
+COUNTIF($A$1,"1S-İkinci Kaptan-Ortaokul")*($AD$14)
+COUNTIF($A$1,"1S-İkinci Kaptan-İlkokul")*($AD$15)
+COUNTIF($A$1,"1S-Usta Gemici-Üniversite")*($AD$16)
+COUNTIF($A$1,"1S-Usta Gemici-MYO")*($AD$17)
+COUNTIF($A$1,"1S-Usta Gemici-Lise")*($AD$18)
+COUNTIF($A$1,"1S-Usta Gemici-Ortaokul")*($AD$19)
+COUNTIF($A$1,"1S-Usta Gemici-İlkokul")*($AD$20)
+COUNTIF($A$1,"1S-Yağcı-Üniversite")*($AD$21)
+COUNTIF($A$1,"1S-Yağcı-MYO")*($AD$22)
+COUNTIF($A$1,"1S-Yağcı-Lise")*($AD$23)
+COUNTIF($A$1,"1S-Yağcı-Ortaokul")*($AD$24)
+COUNTIF($A$1,"1S-Yağcı-İlkokul")*($AD$25)
+COUNTIF($A$1,"2S-Kaptan-Üniversite")*($AD$26)
+COUNTIF($A$1,"2S-Kaptan-MYO")*($AD$27)
+COUNTIF($A$1,"2S-Kaptan-Lise")*($AD$28)
+COUNTIF($A$1,"2S-Kaptan-Ortaokul")*($AD$29)
+COUNTIF($A$1,"2S-Kaptan-İlkokul")*($AD$30)
+COUNTIF($A$1,"2S-Baş Makinist-Üniversite")*($AD$31)
+COUNTIF($A$1,"2S-Baş Makinist-MYO")*($AD$32)
+COUNTIF($A$1,"2S-Baş Makinist-Lise")*($AD$33)
+COUNTIF($A$1,"2S-Baş Makinist-Ortaokul")*($AD$34)
+COUNTIF($A$1,"2S-Baş Makinist-İlkokul")*($AD$35)
+COUNTIF($A$1,"2S-İkinci Kaptan-Üniversite")*($AD$36)
+COUNTIF($A$1,"2S-İkinci Kaptan-MYO")*($AD$37)
+COUNTIF($A$1,"2S-İkinci Kaptan-Lise")*($AD$38)
+COUNTIF($A$1,"2S-İkinci Kaptan-Ortaokul")*($AD$39)
+COUNTIF($A$1,"2S-İkinci Kaptan-İlkokul")*($AD$40)
+COUNTIF($A$1,"2S-Usta Gemici-Üniversite")*($AD$41)
+COUNTIF($A$1,"2S-Usta Gemici-MYO")*($AD$42)
+COUNTIF($A$1,"2S-Usta Gemici-Lise")*($AD$43)
+COUNTIF($A$1,"2S-Usta Gemici-Ortaokul")*($AD$44)
+COUNTIF($A$1,"2S-Usta Gemici-İlkokul")*($AD$45)
+COUNTIF($A$1,"2S-Yağcı-Üniversite")*($AD$46)
+COUNTIF($A$1,"2S-Yağcı-MYO")*($AD$47)
+COUNTIF($A$1,"2S-Yağcı-Lise")*($AD$48)
+COUNTIF($A$1,"2S-Yağcı-Ortaokul")*($AD$49)
+COUNTIF($A$1,"2S-Yağcı-İlkokul")*($AD$50)
+COUNTIF($A$1,"2S-Gemici-Üniversite")*($AD$51)
+COUNTIF($A$1,"2S-Gemici-MYO")*($AD$52)
+COUNTIF($A$1,"2S-Gemici-Lise")*($AD$53)
+COUNTIF($A$1,"2S-Gemici-Ortaokul")*($AD$54)
+COUNTIF($A$1,"2S-Gemici-İlkokul")*($AD$55)
+COUNTIF($A$1,"2S-Gemi Salon Sorumlusu-Üniversite")*($AD$56)
+COUNTIF($A$1,"2S-Gemi Salon Sorumlusu-MYO")*($AD$57)
+COUNTIF($A$1,"2S-Gemi Salon Sorumlusu-Lise")*($AD$58)
+COUNTIF($A$1,"2S-Gemi Salon Sorumlusu-Ortaokul")*($AD$59)
+COUNTIF($A$1,"2S-Gemi Salon Sorumlusu-İlkokul")*($AD$60)</f>
        <v>294.25</v>
      </c>
      <c r="AQ23" s="36" t="s">
        <v>0</v>
      </c>
      <c r="AR23" s="37">
        <f t="shared" si="113"/>
        <v>10478.864211013639</v>
      </c>
      <c r="AS23" s="38">
        <f t="shared" si="114"/>
        <v>8827.5</v>
      </c>
      <c r="AT23" s="50">
        <v>30</v>
      </c>
      <c r="AU23" s="39">
        <f>COUNTIF(H18,"Yok")*(0)
+COUNTIF(H18,"Askerlik Yardımı")*($BX$2/CM14)
+COUNTIF(H18,"Cenaze Yardımı (Anne-Baba)")*($BX$3+$BX$3*0.00759)
+COUNTIF(H18,"Cenaze Yardımı (Eş-Çocuk)")*($BX$4+$BX$4*0.00759)
+COUNTIF(H18,"Cenaze Yardımı (İşçi-İş Kazası Sonucu)")*($BX$5+$BX$5*0.00759)
+COUNTIF(H18,"Cenaze Yardımı (İşçi-Tabii Sebepler Sonucu)")*($BX$6+$BX$6*0.00759)
+COUNTIF(H18,"Çikolata Yardımı")*($BX$7+$BX$7*0.00759)
+COUNTIF(H18,"Doğal Afet Yardımı")*($BX$8+$BX$8*0.00759)
+COUNTIF(H18,"Doğum Yardımı (İşveren)")*($BX$9+$BX$9*0.00759)
+COUNTIF(H18,"Eğitim Yardımı (Çocuk-İlköğretim)")*($BX$10/CM14)
+COUNTIF(H18,"Eğitim Yardımı (Çocuk-Ortaöğretim)")*($BX$11/CM14)
+COUNTIF(H18,"Eğitim Yardımı (Çocuk-Lise)")*($BX$12/CM14)
+COUNTIF(H18,"Eğitim Yardımı (Çocuk-Yükseköğretim)")*($BX$13/CM14)
+COUNTIF(H18,"Eğitim Yardımı (İşçi-Lise)")*($BX$14/CM14)
+COUNTIF(H18,"Eğitim Yardımı (İşçi-Yükseköğretim)")*($BX$15/CM14)
+COUNTIF(H18,"Evlilik Yardımı")*($BX$16+$BX$16*0.00759)
+COUNTIF(H18,"Gıda Yardımı")*($BX$17/CM14)
+COUNTIF(H18,"İş Kazası veya Meslek Hastalığı Tazminatı")*($BX$18+$BX$18*0.00759)
+COUNTIF(H18,"Temizlik Yardımı")*($BX$19/CM14)
+COUNTIF(I18,"Yok")*(0)
+COUNTIF(I18,"Askerlik Yardımı")*($BX$2/CM14)
+COUNTIF(I18,"Cenaze Yardımı (Anne-Baba)")*($BX$3+$BX$3*0.00759)
+COUNTIF(I18,"Cenaze Yardımı (Eş-Çocuk)")*($BX$4+$BX$4*0.00759)
+COUNTIF(I18,"Cenaze Yardımı (İşçi-İş Kazası Sonucu)")*($BX$5+$BX$5*0.00759)
+COUNTIF(I18,"Cenaze Yardımı (İşçi-Tabii Sebepler Sonucu)")*($BX$6+$BX$6*0.00759)
+COUNTIF(I18,"Çikolata Yardımı")*($BX$7+$BX$7*0.00759)
+COUNTIF(I18,"Doğal Afet Yardımı")*($BX$8+$BX$8*0.00759)
+COUNTIF(I18,"Doğum Yardımı (İşveren)")*($BX$9+$BX$9*0.00759)
+COUNTIF(I18,"Eğitim Yardımı (Çocuk-İlköğretim)")*($BX$10/CM14)
+COUNTIF(I18,"Eğitim Yardımı (Çocuk-Ortaöğretim)")*($BX$11/CM14)
+COUNTIF(I18,"Eğitim Yardımı (Çocuk-Lise)")*($BX$12/CM14)
+COUNTIF(I18,"Eğitim Yardımı (Çocuk-Yükseköğretim)")*($BX$13/CM14)
+COUNTIF(I18,"Eğitim Yardımı (İşçi-Lise)")*($BX$14/CM14)
+COUNTIF(I18,"Eğitim Yardımı (İşçi-Yükseköğretim)")*($BX$15/CM14)
+COUNTIF(I18,"Evlilik Yardımı")*($BX$16+$BX$16*0.00759)
+COUNTIF(I18,"Gıda Yardımı")*($BX$17/CM14)
+COUNTIF(I18,"İş Kazası veya Meslek Hastalığı Tazminatı")*($BX$18+$BX$18*0.00759)
+COUNTIF(I18,"Temizlik Yardımı")*($BX$19/CM14)
+COUNTIF(J18,"Yok")*(0)
+COUNTIF(J18,"Askerlik Yardımı")*($BX$2/CM14)
+COUNTIF(J18,"Cenaze Yardımı (Anne-Baba)")*($BX$3+$BX$3*0.00759)
+COUNTIF(J18,"Cenaze Yardımı (Eş-Çocuk)")*($BX$4+$BX$4*0.00759)
+COUNTIF(J18,"Cenaze Yardımı (İşçi-İş Kazası Sonucu)")*($BX$5+$BX$5*0.00759)
+COUNTIF(J18,"Cenaze Yardımı (İşçi-Tabii Sebepler Sonucu)")*($BX$6+$BX$6*0.00759)
+COUNTIF(J18,"Çikolata Yardımı")*($BX$7+$BX$7*0.00759)
+COUNTIF(J18,"Doğal Afet Yardımı")*($BX$8+$BX$8*0.00759)
+COUNTIF(J18,"Doğum Yardımı (İşveren)")*($BX$9+$BX$9*0.00759)
+COUNTIF(J18,"Eğitim Yardımı (Çocuk-İlköğretim)")*($BX$10/CM14)
+COUNTIF(J18,"Eğitim Yardımı (Çocuk-Ortaöğretim)")*($BX$11/CM14)
+COUNTIF(J18,"Eğitim Yardımı (Çocuk-Lise)")*($BX$12/CM14)
+COUNTIF(J18,"Eğitim Yardımı (Çocuk-Yükseköğretim)")*($BX$13/CM14)
+COUNTIF(J18,"Eğitim Yardımı (İşçi-Lise)")*($BX$14/CM14)
+COUNTIF(J18,"Eğitim Yardımı (İşçi-Yükseköğretim)")*($BX$15/CM14)
+COUNTIF(J18,"Evlilik Yardımı")*($BX$16+$BX$16*0.00759)
+COUNTIF(J18,"Gıda Yardımı")*($BX$17/CM14)
+COUNTIF(J18,"İş Kazası veya Meslek Hastalığı Tazminatı")*($BX$18+$BX$18*0.00759)
+COUNTIF(J18,"Temizlik Yardımı")*($BX$19/CM14)</f>
        <v>0</v>
      </c>
      <c r="AV23" s="39">
        <f>COUNTIF(H18,"Yok")*(0)
+COUNTIF(H18,"Askerlik Yardımı")*(0)
+COUNTIF(H18,"Cenaze Yardımı (Anne-Baba)")*($BX$3+$BX$3*0.00759)
+COUNTIF(H18,"Cenaze Yardımı (Eş-Çocuk)")*($BX$4+$BX$4*0.00759)
+COUNTIF(H18,"Cenaze Yardımı (İşçi-İş Kazası Sonucu)")*($BX$5+$BX$5*0.00759)
+COUNTIF(H18,"Cenaze Yardımı (İşçi-Tabii Sebepler Sonucu)")*($BX$6+$BX$6*0.00759)
+COUNTIF(H18,"Çikolata Yardımı")*($BX$7+$BX$7*0.00759)
+COUNTIF(H18,"Doğal Afet Yardımı")*($BX$8+$BX$8*0.00759)
+COUNTIF(H18,"Doğum Yardımı (İşveren)")*($BX$9+$BX$9*0.00759)
+COUNTIF(H18,"Eğitim Yardımı (Çocuk-İlköğretim)")*(0)
+COUNTIF(H18,"Eğitim Yardımı (Çocuk-Ortaöğretim)")*(0)
+COUNTIF(H18,"Eğitim Yardımı (Çocuk-Lise)")*(0)
+COUNTIF(H18,"Eğitim Yardımı (Çocuk-Yükseköğretim)")*(0)
+COUNTIF(H18,"Eğitim Yardımı (İşçi-Lise)")*(0)
+COUNTIF(H18,"Eğitim Yardımı (İşçi-Yükseköğretim)")*(0)
+COUNTIF(H18,"Evlilik Yardımı")*($BX$16+$BX$16*0.00759)
+COUNTIF(H18,"Gıda Yardımı")*(0)
+COUNTIF(H18,"İş Kazası veya Meslek Hastalığı Tazminatı")*($BX$18+$BX$18*0.00759)
+COUNTIF(H18,"Temizlik Yardımı")*(0)
+COUNTIF(I18,"Yok")*(0)
+COUNTIF(I18,"Askerlik Yardımı")*(0)
+COUNTIF(I18,"Cenaze Yardımı (Anne-Baba)")*($BX$3+$BX$3*0.00759)
+COUNTIF(I18,"Cenaze Yardımı (Eş-Çocuk)")*($BX$4+$BX$4*0.00759)
+COUNTIF(I18,"Cenaze Yardımı (İşçi-İş Kazası Sonucu)")*($BX$5+$BX$5*0.00759)
+COUNTIF(I18,"Cenaze Yardımı (İşçi-Tabii Sebepler Sonucu)")*($BX$6+$BX$6*0.00759)
+COUNTIF(I18,"Çikolata Yardımı")*($BX$7+$BX$7*0.00759)
+COUNTIF(I18,"Doğal Afet Yardımı")*($BX$8+$BX$8*0.00759)
+COUNTIF(I18,"Doğum Yardımı (İşveren)")*($BX$9+$BX$9*0.00759)
+COUNTIF(I18,"Eğitim Yardımı (Çocuk-İlköğretim)")*(0)
+COUNTIF(I18,"Eğitim Yardımı (Çocuk-Ortaöğretim)")*(0)
+COUNTIF(I18,"Eğitim Yardımı (Çocuk-Lise)")*(0)
+COUNTIF(I18,"Eğitim Yardımı (Çocuk-Yükseköğretim)")*(0)
+COUNTIF(I18,"Eğitim Yardımı (İşçi-Lise)")*(0)
+COUNTIF(I18,"Eğitim Yardımı (İşçi-Yükseköğretim)")*(0)
+COUNTIF(I18,"Evlilik Yardımı")*($BX$16+$BX$16*0.00759)
+COUNTIF(I18,"Gıda Yardımı")*(0)
+COUNTIF(I18,"İş Kazası veya Meslek Hastalığı Tazminatı")*($BX$18+$BX$18*0.00759)
+COUNTIF(I18,"Temizlik Yardımı")*(0)
+COUNTIF(J18,"Yok")*(0)
+COUNTIF(J18,"Askerlik Yardımı")*(0)
+COUNTIF(J18,"Cenaze Yardımı (Anne-Baba)")*($BX$3+$BX$3*0.00759)
+COUNTIF(J18,"Cenaze Yardımı (Eş-Çocuk)")*($BX$4+$BX$4*0.00759)
+COUNTIF(J18,"Cenaze Yardımı (İşçi-İş Kazası Sonucu)")*($BX$5+$BX$5*0.00759)
+COUNTIF(J18,"Cenaze Yardımı (İşçi-Tabii Sebepler Sonucu)")*($BX$6+$BX$6*0.00759)
+COUNTIF(J18,"Çikolata Yardımı")*($BX$7+$BX$7*0.00759)
+COUNTIF(J18,"Doğal Afet Yardımı")*($BX$8+$BX$8*0.00759)
+COUNTIF(J18,"Doğum Yardımı (İşveren)")*($BX$9+$BX$9*0.00759)
+COUNTIF(J18,"Eğitim Yardımı (Çocuk-İlköğretim)")*(0)
+COUNTIF(J18,"Eğitim Yardımı (Çocuk-Ortaöğretim)")*(0)
+COUNTIF(J18,"Eğitim Yardımı (Çocuk-Lise)")*(0)
+COUNTIF(J18,"Eğitim Yardımı (Çocuk-Yükseköğretim)")*(0)
+COUNTIF(J18,"Eğitim Yardımı (İşçi-Lise)")*(0)
+COUNTIF(J18,"Eğitim Yardımı (İşçi-Yükseköğretim)")*(0)
+COUNTIF(J18,"Evlilik Yardımı")*($BX$16+$BX$16*0.00759)
+COUNTIF(J18,"Gıda Yardımı")*(0)
+COUNTIF(J18,"İş Kazası veya Meslek Hastalığı Tazminatı")*($BX$18+$BX$18*0.00759)
+COUNTIF(J18,"Temizlik Yardımı")*(0)</f>
        <v>0</v>
      </c>
      <c r="AW23" s="39">
        <f>COUNTIF(H18,"Yok")*(0)
+COUNTIF(H18,"Askerlik Yardımı")*($BX$2)
+COUNTIF(H18,"Cenaze Yardımı (Anne-Baba)")*($BX$3)
+COUNTIF(H18,"Cenaze Yardımı (Eş-Çocuk)")*($BX$4)
+COUNTIF(H18,"Cenaze Yardımı (İşçi-İş Kazası Sonucu)")*($BX$5)
+COUNTIF(H18,"Cenaze Yardımı (İşçi-Tabii Sebepler Sonucu)")*($BX$6)
+COUNTIF(H18,"Çikolata Yardımı")*($BX$7)
+COUNTIF(H18,"Doğal Afet Yardımı")*($BX$8)
+COUNTIF(H18,"Doğum Yardımı (İşveren)")*($BX$9)
+COUNTIF(H18,"Eğitim Yardımı (Çocuk-İlköğretim)")*($BX$10)
+COUNTIF(H18,"Eğitim Yardımı (Çocuk-Ortaöğretim)")*($BX$11)
+COUNTIF(H18,"Eğitim Yardımı (Çocuk-Lise)")*($BX$12)
+COUNTIF(H18,"Eğitim Yardımı (Çocuk-Yükseköğretim)")*($BX$13)
+COUNTIF(H18,"Eğitim Yardımı (İşçi-Lise)")*($BX$14)
+COUNTIF(H18,"Eğitim Yardımı (İşçi-Yükseköğretim)")*($BX$15)
+COUNTIF(H18,"Evlilik Yardımı")*($BX$16)
+COUNTIF(H18,"Gıda Yardımı")*($BX$17)
+COUNTIF(H18,"İş Kazası veya Meslek Hastalığı Tazminatı")*($BX$18)
+COUNTIF(H18,"Temizlik Yardımı")*($BX$19)
+COUNTIF(I18,"Yok")*(0)
+COUNTIF(I18,"Askerlik Yardımı")*($BX$2)
+COUNTIF(I18,"Cenaze Yardımı (Anne-Baba)")*($BX$3)
+COUNTIF(I18,"Cenaze Yardımı (Eş-Çocuk)")*($BX$4)
+COUNTIF(I18,"Cenaze Yardımı (İşçi-İş Kazası Sonucu)")*($BX$5)
+COUNTIF(I18,"Cenaze Yardımı (İşçi-Tabii Sebepler Sonucu)")*($BX$6)
+COUNTIF(I18,"Çikolata Yardımı")*($BX$7)
+COUNTIF(I18,"Doğal Afet Yardımı")*($BX$8)
+COUNTIF(I18,"Doğum Yardımı (İşveren)")*($BX$9)
+COUNTIF(I18,"Eğitim Yardımı (Çocuk-İlköğretim)")*($BX$10)
+COUNTIF(I18,"Eğitim Yardımı (Çocuk-Ortaöğretim)")*($BX$11)
+COUNTIF(I18,"Eğitim Yardımı (Çocuk-Lise)")*($BX$12)
+COUNTIF(I18,"Eğitim Yardımı (Çocuk-Yükseköğretim)")*($BX$13)
+COUNTIF(I18,"Eğitim Yardımı (İşçi-Lise)")*($BX$14)
+COUNTIF(I18,"Eğitim Yardımı (İşçi-Yükseköğretim)")*($BX$15)
+COUNTIF(I18,"Evlilik Yardımı")*($BX$16)
+COUNTIF(I18,"Gıda Yardımı")*($BX$17)
+COUNTIF(I18,"İş Kazası veya Meslek Hastalığı Tazminatı")*($BX$18)
+COUNTIF(I18,"Temizlik Yardımı")*($BX$19)
+COUNTIF(J18,"Yok")*(0)
+COUNTIF(J18,"Askerlik Yardımı")*($BX$2)
+COUNTIF(J18,"Cenaze Yardımı (Anne-Baba)")*($BX$3)
+COUNTIF(J18,"Cenaze Yardımı (Eş-Çocuk)")*($BX$4)
+COUNTIF(J18,"Cenaze Yardımı (İşçi-İş Kazası Sonucu)")*($BX$5)
+COUNTIF(J18,"Cenaze Yardımı (İşçi-Tabii Sebepler Sonucu)")*($BX$6)
+COUNTIF(J18,"Çikolata Yardımı")*($BX$7)
+COUNTIF(J18,"Doğal Afet Yardımı")*($BX$8)
+COUNTIF(J18,"Doğum Yardımı (İşveren)")*($BX$9)
+COUNTIF(J18,"Eğitim Yardımı (Çocuk-İlköğretim)")*($BX$10)
+COUNTIF(J18,"Eğitim Yardımı (Çocuk-Ortaöğretim)")*($BX$11)
+COUNTIF(J18,"Eğitim Yardımı (Çocuk-Lise)")*($BX$12)
+COUNTIF(J18,"Eğitim Yardımı (Çocuk-Yükseköğretim)")*($BX$13)
+COUNTIF(J18,"Eğitim Yardımı (İşçi-Lise)")*($BX$14)
+COUNTIF(J18,"Eğitim Yardımı (İşçi-Yükseköğretim)")*($BX$15)
+COUNTIF(J18,"Evlilik Yardımı")*($BX$16)
+COUNTIF(J18,"Gıda Yardımı")*($BX$17)
+COUNTIF(J18,"İş Kazası veya Meslek Hastalığı Tazminatı")*($BX$18)
+COUNTIF(J18,"Temizlik Yardımı")*($BX$19)</f>
        <v>0</v>
      </c>
      <c r="AX23" s="40" t="s">
        <v>12</v>
      </c>
      <c r="AY23" s="38">
        <f>COUNTIF(AX23,"Var")*(AK1*0.9*-1)</f>
        <v>-286.85556914091711</v>
      </c>
      <c r="AZ23" s="38">
        <f>(AY23*-1)</f>
        <v>286.85556914091711</v>
      </c>
      <c r="BA23" s="38">
        <f t="shared" ref="BA23" si="117">BA22/12</f>
        <v>0</v>
      </c>
      <c r="BB23" s="38">
        <f t="shared" ref="BB23" si="118">BB22/12</f>
        <v>0</v>
      </c>
      <c r="BC23" s="38">
        <f t="shared" ref="BC23" si="119">BC22/12</f>
        <v>0</v>
      </c>
      <c r="BD23" s="36" t="s">
        <v>0</v>
      </c>
      <c r="BE23" s="38">
        <f t="shared" ref="BE23:BF23" si="120">(BE22/12)</f>
        <v>-296.02568820408118</v>
      </c>
      <c r="BF23" s="38">
        <f t="shared" si="120"/>
        <v>296.02568820408118</v>
      </c>
      <c r="BG23" s="39">
        <f ca="1">(CS17*K21+BH23)*-1</f>
        <v>0</v>
      </c>
      <c r="BH23" s="39">
        <f ca="1">(AV7+AX7+AZ7-BE7)*(K21*-1)</f>
        <v>0</v>
      </c>
      <c r="BI23" s="39">
        <f ca="1">(BG23+BH23)</f>
        <v>0</v>
      </c>
      <c r="BJ23" s="38" t="s">
        <v>0</v>
      </c>
      <c r="BK23" s="38">
        <f>(6471)</f>
        <v>6471</v>
      </c>
      <c r="BL23" s="38">
        <f>(6471)</f>
        <v>6471</v>
      </c>
      <c r="BM23" s="38">
        <f>(BK23-BL23)</f>
        <v>0</v>
      </c>
      <c r="BN23" s="38">
        <f>(BM23*0.00759*-1)</f>
        <v>0</v>
      </c>
      <c r="BO23" s="38">
        <f>(0)</f>
        <v>0</v>
      </c>
      <c r="BP23" s="38">
        <f>(BK23-BO23)</f>
        <v>6471</v>
      </c>
      <c r="BQ23" s="38">
        <f>(BP23*0.14*-1)</f>
        <v>-905.94</v>
      </c>
      <c r="BR23" s="38">
        <f>(BP23*0.01*-1)</f>
        <v>-64.710000000000008</v>
      </c>
      <c r="BU23" s="38">
        <f t="shared" ca="1" si="88"/>
        <v>-2025.8917674475845</v>
      </c>
      <c r="BV23" s="38">
        <f t="shared" ca="1" si="89"/>
        <v>-144.70655481768461</v>
      </c>
      <c r="BW23" s="52" t="s">
        <v>0</v>
      </c>
      <c r="BX23" s="52" t="s">
        <v>0</v>
      </c>
      <c r="CJ23" s="38">
        <f>(CJ11+CJ12+CJ13+CJ14+CJ15+CJ16+CJ17+CJ18+CJ19+CJ20+CJ21+CJ22)</f>
        <v>0</v>
      </c>
      <c r="CK23" s="38">
        <f>(CK11+CK12+CK13+CK14+CK15+CK16+CK17+CK18+CK19+CK20+CK21+CK22)</f>
        <v>0</v>
      </c>
      <c r="CL23" s="38">
        <f>(CL11+CL12+CL13+CL14+CL15+CL16+CL17+CL18+CL19+CL20+CL21+CL22)</f>
        <v>0</v>
      </c>
      <c r="CM23" s="42" t="s">
        <v>0</v>
      </c>
      <c r="CN23" s="42" t="s">
        <v>0</v>
      </c>
      <c r="CO23" s="42" t="s">
        <v>0</v>
      </c>
      <c r="CP23" s="44">
        <f>IF(CC15=0,CB15,(VLOOKUP($CB15,$BM$1:$BP$5,2,0)-CA14)/BZ15*CB14+(CA15-VLOOKUP($CB15,$BM$1:$BP$5,2,0))/BZ15*CB15)</f>
        <v>0.2</v>
      </c>
      <c r="CQ23" s="38">
        <f>(ROUND(BZ15*CP23,2))</f>
        <v>1100.07</v>
      </c>
      <c r="CR23" s="44">
        <f>(100+(100*0.00759*-1)+(100*0.01*-1)+(100*0.01*-1)+(100+100*0.14*-1+100*0.01*-1)*CP23*-1)/100</f>
        <v>0.80240999999999996</v>
      </c>
      <c r="CS23" s="38">
        <f>BK25</f>
        <v>6471</v>
      </c>
      <c r="CT23" s="38">
        <f>BK25+BN25+BQ25+BR25</f>
        <v>5500.3499999999995</v>
      </c>
      <c r="CU23" s="38" t="s">
        <v>0</v>
      </c>
      <c r="CV23" s="38">
        <f ca="1">(AR23+AT9+AV9+AX9+AZ9+AE15+AK15+AN15+AQ15+BA2+BD2+BG4)</f>
        <v>27304.19262793244</v>
      </c>
      <c r="CW23" s="38">
        <f ca="1">(AR23+AT9+AV9+AX9+AZ9+AE15+AK15+AN15+AQ15+BA2+BD2+BG4)</f>
        <v>27304.19262793244</v>
      </c>
      <c r="CX23" s="38">
        <f ca="1">(CW23*0.00759*-1)</f>
        <v>-207.23882204600721</v>
      </c>
      <c r="CY23" s="38">
        <f>(BL25)</f>
        <v>6471</v>
      </c>
      <c r="CZ23" s="38">
        <f>(CY23*0.00759*-1)</f>
        <v>-49.114890000000003</v>
      </c>
      <c r="DA23" s="38">
        <f ca="1">(CW23-CY23)</f>
        <v>20833.19262793244</v>
      </c>
      <c r="DB23" s="38">
        <f ca="1">(DA23*0.00759*-1)</f>
        <v>-158.12393204600721</v>
      </c>
      <c r="DF23" s="42">
        <v>21</v>
      </c>
      <c r="DG23" s="46">
        <v>10.5</v>
      </c>
      <c r="DH23" s="47">
        <v>0.23</v>
      </c>
      <c r="DI23" s="55"/>
    </row>
    <row r="24" spans="1:113" ht="39.950000000000003" customHeight="1" x14ac:dyDescent="0.25">
      <c r="A24" s="5">
        <f t="shared" si="79"/>
        <v>0</v>
      </c>
      <c r="B24" s="6" t="s">
        <v>22</v>
      </c>
      <c r="C24" s="14">
        <v>0</v>
      </c>
      <c r="D24" s="15">
        <v>40</v>
      </c>
      <c r="E24" s="15">
        <v>0</v>
      </c>
      <c r="F24" s="14">
        <v>20</v>
      </c>
      <c r="G24" s="14">
        <v>0</v>
      </c>
      <c r="H24" s="16" t="s">
        <v>1</v>
      </c>
      <c r="I24" s="16" t="s">
        <v>1</v>
      </c>
      <c r="J24" s="16" t="s">
        <v>1</v>
      </c>
      <c r="K24" s="17">
        <v>0</v>
      </c>
      <c r="L24" s="7">
        <f ca="1">(CW24-BD3+BK5+AU25+CP20+BU26+BV26+CL20-M24)</f>
        <v>11497.683485366157</v>
      </c>
      <c r="M24" s="7">
        <f ca="1">(AW10+AY10+BA10+AV25)</f>
        <v>2872.625</v>
      </c>
      <c r="N24" s="8">
        <f t="shared" ca="1" si="82"/>
        <v>14370.308485366157</v>
      </c>
      <c r="O24" s="18" t="s">
        <v>0</v>
      </c>
      <c r="P24" s="19" t="s">
        <v>0</v>
      </c>
      <c r="Q24" s="19" t="s">
        <v>0</v>
      </c>
      <c r="R24" s="72"/>
      <c r="S24" s="71"/>
      <c r="T24" s="21" t="s">
        <v>0</v>
      </c>
      <c r="U24" s="26" t="s">
        <v>0</v>
      </c>
      <c r="V24" s="60"/>
      <c r="W24" s="61"/>
      <c r="X24" s="63"/>
      <c r="Y24" s="62"/>
      <c r="Z24" s="30"/>
      <c r="AA24" s="52" t="s">
        <v>110</v>
      </c>
      <c r="AB24" s="38">
        <v>199</v>
      </c>
      <c r="AC24" s="38">
        <v>208.27</v>
      </c>
      <c r="AD24" s="38">
        <v>208.27</v>
      </c>
      <c r="AE24" s="34">
        <f>(AF23+1)</f>
        <v>44835</v>
      </c>
      <c r="AF24" s="34">
        <f t="shared" si="106"/>
        <v>44865</v>
      </c>
      <c r="AG24" s="35">
        <f t="shared" si="107"/>
        <v>31</v>
      </c>
      <c r="AH24" s="35">
        <f t="shared" si="108"/>
        <v>26</v>
      </c>
      <c r="AI24" s="35">
        <f t="shared" si="109"/>
        <v>5</v>
      </c>
      <c r="AJ24" s="36" t="s">
        <v>0</v>
      </c>
      <c r="AK24" s="33">
        <f t="shared" si="110"/>
        <v>349.29547370045464</v>
      </c>
      <c r="AL24" s="33">
        <f>COUNTIF($A$1,"1S-Kaptan-Üniversite")*($AD$1)
+COUNTIF($A$1,"1S-Kaptan-MYO")*($AD$2)
+COUNTIF($A$1,"1S-Kaptan-Lise")*($AD$3)
+COUNTIF($A$1,"1S-Kaptan-Ortaokul")*($AD$4)
+COUNTIF($A$1,"1S-Kaptan-İlkokul")*($AD$5)
+COUNTIF($A$1,"1S-Baş Makinist-Üniversite")*($AD$6)
+COUNTIF($A$1,"1S-Baş Makinist-MYO")*($AD$7)
+COUNTIF($A$1,"1S-Baş Makinist-Lise")*($AD$8)
+COUNTIF($A$1,"1S-Baş Makinist-Ortaokul")*($AD$9)
+COUNTIF($A$1,"1S-Baş Makinist-İlkokul")*($AD$10)
+COUNTIF($A$1,"1S-İkinci Kaptan-Üniversite")*($AD$11)
+COUNTIF($A$1,"1S-İkinci Kaptan-MYO")*($AD$12)
+COUNTIF($A$1,"1S-İkinci Kaptan-Lise")*($AD$13)
+COUNTIF($A$1,"1S-İkinci Kaptan-Ortaokul")*($AD$14)
+COUNTIF($A$1,"1S-İkinci Kaptan-İlkokul")*($AD$15)
+COUNTIF($A$1,"1S-Usta Gemici-Üniversite")*($AD$16)
+COUNTIF($A$1,"1S-Usta Gemici-MYO")*($AD$17)
+COUNTIF($A$1,"1S-Usta Gemici-Lise")*($AD$18)
+COUNTIF($A$1,"1S-Usta Gemici-Ortaokul")*($AD$19)
+COUNTIF($A$1,"1S-Usta Gemici-İlkokul")*($AD$20)
+COUNTIF($A$1,"1S-Yağcı-Üniversite")*($AD$21)
+COUNTIF($A$1,"1S-Yağcı-MYO")*($AD$22)
+COUNTIF($A$1,"1S-Yağcı-Lise")*($AD$23)
+COUNTIF($A$1,"1S-Yağcı-Ortaokul")*($AD$24)
+COUNTIF($A$1,"1S-Yağcı-İlkokul")*($AD$25)
+COUNTIF($A$1,"2S-Kaptan-Üniversite")*($AD$26)
+COUNTIF($A$1,"2S-Kaptan-MYO")*($AD$27)
+COUNTIF($A$1,"2S-Kaptan-Lise")*($AD$28)
+COUNTIF($A$1,"2S-Kaptan-Ortaokul")*($AD$29)
+COUNTIF($A$1,"2S-Kaptan-İlkokul")*($AD$30)
+COUNTIF($A$1,"2S-Baş Makinist-Üniversite")*($AD$31)
+COUNTIF($A$1,"2S-Baş Makinist-MYO")*($AD$32)
+COUNTIF($A$1,"2S-Baş Makinist-Lise")*($AD$33)
+COUNTIF($A$1,"2S-Baş Makinist-Ortaokul")*($AD$34)
+COUNTIF($A$1,"2S-Baş Makinist-İlkokul")*($AD$35)
+COUNTIF($A$1,"2S-İkinci Kaptan-Üniversite")*($AD$36)
+COUNTIF($A$1,"2S-İkinci Kaptan-MYO")*($AD$37)
+COUNTIF($A$1,"2S-İkinci Kaptan-Lise")*($AD$38)
+COUNTIF($A$1,"2S-İkinci Kaptan-Ortaokul")*($AD$39)
+COUNTIF($A$1,"2S-İkinci Kaptan-İlkokul")*($AD$40)
+COUNTIF($A$1,"2S-Usta Gemici-Üniversite")*($AD$41)
+COUNTIF($A$1,"2S-Usta Gemici-MYO")*($AD$42)
+COUNTIF($A$1,"2S-Usta Gemici-Lise")*($AD$43)
+COUNTIF($A$1,"2S-Usta Gemici-Ortaokul")*($AD$44)
+COUNTIF($A$1,"2S-Usta Gemici-İlkokul")*($AD$45)
+COUNTIF($A$1,"2S-Yağcı-Üniversite")*($AD$46)
+COUNTIF($A$1,"2S-Yağcı-MYO")*($AD$47)
+COUNTIF($A$1,"2S-Yağcı-Lise")*($AD$48)
+COUNTIF($A$1,"2S-Yağcı-Ortaokul")*($AD$49)
+COUNTIF($A$1,"2S-Yağcı-İlkokul")*($AD$50)
+COUNTIF($A$1,"2S-Gemici-Üniversite")*($AD$51)
+COUNTIF($A$1,"2S-Gemici-MYO")*($AD$52)
+COUNTIF($A$1,"2S-Gemici-Lise")*($AD$53)
+COUNTIF($A$1,"2S-Gemici-Ortaokul")*($AD$54)
+COUNTIF($A$1,"2S-Gemici-İlkokul")*($AD$55)
+COUNTIF($A$1,"2S-Gemi Salon Sorumlusu-Üniversite")*($AD$56)
+COUNTIF($A$1,"2S-Gemi Salon Sorumlusu-MYO")*($AD$57)
+COUNTIF($A$1,"2S-Gemi Salon Sorumlusu-Lise")*($AD$58)
+COUNTIF($A$1,"2S-Gemi Salon Sorumlusu-Ortaokul")*($AD$59)
+COUNTIF($A$1,"2S-Gemi Salon Sorumlusu-İlkokul")*($AD$60)</f>
        <v>294.25</v>
      </c>
      <c r="AM24" s="33">
        <f t="shared" si="111"/>
        <v>349.29547370045464</v>
      </c>
      <c r="AN24" s="33">
        <f>COUNTIF($A$1,"1S-Kaptan-Üniversite")*($AD$1)
+COUNTIF($A$1,"1S-Kaptan-MYO")*($AD$2)
+COUNTIF($A$1,"1S-Kaptan-Lise")*($AD$3)
+COUNTIF($A$1,"1S-Kaptan-Ortaokul")*($AD$4)
+COUNTIF($A$1,"1S-Kaptan-İlkokul")*($AD$5)
+COUNTIF($A$1,"1S-Baş Makinist-Üniversite")*($AD$6)
+COUNTIF($A$1,"1S-Baş Makinist-MYO")*($AD$7)
+COUNTIF($A$1,"1S-Baş Makinist-Lise")*($AD$8)
+COUNTIF($A$1,"1S-Baş Makinist-Ortaokul")*($AD$9)
+COUNTIF($A$1,"1S-Baş Makinist-İlkokul")*($AD$10)
+COUNTIF($A$1,"1S-İkinci Kaptan-Üniversite")*($AD$11)
+COUNTIF($A$1,"1S-İkinci Kaptan-MYO")*($AD$12)
+COUNTIF($A$1,"1S-İkinci Kaptan-Lise")*($AD$13)
+COUNTIF($A$1,"1S-İkinci Kaptan-Ortaokul")*($AD$14)
+COUNTIF($A$1,"1S-İkinci Kaptan-İlkokul")*($AD$15)
+COUNTIF($A$1,"1S-Usta Gemici-Üniversite")*($AD$16)
+COUNTIF($A$1,"1S-Usta Gemici-MYO")*($AD$17)
+COUNTIF($A$1,"1S-Usta Gemici-Lise")*($AD$18)
+COUNTIF($A$1,"1S-Usta Gemici-Ortaokul")*($AD$19)
+COUNTIF($A$1,"1S-Usta Gemici-İlkokul")*($AD$20)
+COUNTIF($A$1,"1S-Yağcı-Üniversite")*($AD$21)
+COUNTIF($A$1,"1S-Yağcı-MYO")*($AD$22)
+COUNTIF($A$1,"1S-Yağcı-Lise")*($AD$23)
+COUNTIF($A$1,"1S-Yağcı-Ortaokul")*($AD$24)
+COUNTIF($A$1,"1S-Yağcı-İlkokul")*($AD$25)
+COUNTIF($A$1,"2S-Kaptan-Üniversite")*($AD$26)
+COUNTIF($A$1,"2S-Kaptan-MYO")*($AD$27)
+COUNTIF($A$1,"2S-Kaptan-Lise")*($AD$28)
+COUNTIF($A$1,"2S-Kaptan-Ortaokul")*($AD$29)
+COUNTIF($A$1,"2S-Kaptan-İlkokul")*($AD$30)
+COUNTIF($A$1,"2S-Baş Makinist-Üniversite")*($AD$31)
+COUNTIF($A$1,"2S-Baş Makinist-MYO")*($AD$32)
+COUNTIF($A$1,"2S-Baş Makinist-Lise")*($AD$33)
+COUNTIF($A$1,"2S-Baş Makinist-Ortaokul")*($AD$34)
+COUNTIF($A$1,"2S-Baş Makinist-İlkokul")*($AD$35)
+COUNTIF($A$1,"2S-İkinci Kaptan-Üniversite")*($AD$36)
+COUNTIF($A$1,"2S-İkinci Kaptan-MYO")*($AD$37)
+COUNTIF($A$1,"2S-İkinci Kaptan-Lise")*($AD$38)
+COUNTIF($A$1,"2S-İkinci Kaptan-Ortaokul")*($AD$39)
+COUNTIF($A$1,"2S-İkinci Kaptan-İlkokul")*($AD$40)
+COUNTIF($A$1,"2S-Usta Gemici-Üniversite")*($AD$41)
+COUNTIF($A$1,"2S-Usta Gemici-MYO")*($AD$42)
+COUNTIF($A$1,"2S-Usta Gemici-Lise")*($AD$43)
+COUNTIF($A$1,"2S-Usta Gemici-Ortaokul")*($AD$44)
+COUNTIF($A$1,"2S-Usta Gemici-İlkokul")*($AD$45)
+COUNTIF($A$1,"2S-Yağcı-Üniversite")*($AD$46)
+COUNTIF($A$1,"2S-Yağcı-MYO")*($AD$47)
+COUNTIF($A$1,"2S-Yağcı-Lise")*($AD$48)
+COUNTIF($A$1,"2S-Yağcı-Ortaokul")*($AD$49)
+COUNTIF($A$1,"2S-Yağcı-İlkokul")*($AD$50)
+COUNTIF($A$1,"2S-Gemici-Üniversite")*($AD$51)
+COUNTIF($A$1,"2S-Gemici-MYO")*($AD$52)
+COUNTIF($A$1,"2S-Gemici-Lise")*($AD$53)
+COUNTIF($A$1,"2S-Gemici-Ortaokul")*($AD$54)
+COUNTIF($A$1,"2S-Gemici-İlkokul")*($AD$55)
+COUNTIF($A$1,"2S-Gemi Salon Sorumlusu-Üniversite")*($AD$56)
+COUNTIF($A$1,"2S-Gemi Salon Sorumlusu-MYO")*($AD$57)
+COUNTIF($A$1,"2S-Gemi Salon Sorumlusu-Lise")*($AD$58)
+COUNTIF($A$1,"2S-Gemi Salon Sorumlusu-Ortaokul")*($AD$59)
+COUNTIF($A$1,"2S-Gemi Salon Sorumlusu-İlkokul")*($AD$60)</f>
        <v>294.25</v>
      </c>
      <c r="AO24" s="33">
        <f t="shared" si="112"/>
        <v>349.29547370045464</v>
      </c>
      <c r="AP24" s="33">
        <f>COUNTIF($A$1,"1S-Kaptan-Üniversite")*($AD$1)
+COUNTIF($A$1,"1S-Kaptan-MYO")*($AD$2)
+COUNTIF($A$1,"1S-Kaptan-Lise")*($AD$3)
+COUNTIF($A$1,"1S-Kaptan-Ortaokul")*($AD$4)
+COUNTIF($A$1,"1S-Kaptan-İlkokul")*($AD$5)
+COUNTIF($A$1,"1S-Baş Makinist-Üniversite")*($AD$6)
+COUNTIF($A$1,"1S-Baş Makinist-MYO")*($AD$7)
+COUNTIF($A$1,"1S-Baş Makinist-Lise")*($AD$8)
+COUNTIF($A$1,"1S-Baş Makinist-Ortaokul")*($AD$9)
+COUNTIF($A$1,"1S-Baş Makinist-İlkokul")*($AD$10)
+COUNTIF($A$1,"1S-İkinci Kaptan-Üniversite")*($AD$11)
+COUNTIF($A$1,"1S-İkinci Kaptan-MYO")*($AD$12)
+COUNTIF($A$1,"1S-İkinci Kaptan-Lise")*($AD$13)
+COUNTIF($A$1,"1S-İkinci Kaptan-Ortaokul")*($AD$14)
+COUNTIF($A$1,"1S-İkinci Kaptan-İlkokul")*($AD$15)
+COUNTIF($A$1,"1S-Usta Gemici-Üniversite")*($AD$16)
+COUNTIF($A$1,"1S-Usta Gemici-MYO")*($AD$17)
+COUNTIF($A$1,"1S-Usta Gemici-Lise")*($AD$18)
+COUNTIF($A$1,"1S-Usta Gemici-Ortaokul")*($AD$19)
+COUNTIF($A$1,"1S-Usta Gemici-İlkokul")*($AD$20)
+COUNTIF($A$1,"1S-Yağcı-Üniversite")*($AD$21)
+COUNTIF($A$1,"1S-Yağcı-MYO")*($AD$22)
+COUNTIF($A$1,"1S-Yağcı-Lise")*($AD$23)
+COUNTIF($A$1,"1S-Yağcı-Ortaokul")*($AD$24)
+COUNTIF($A$1,"1S-Yağcı-İlkokul")*($AD$25)
+COUNTIF($A$1,"2S-Kaptan-Üniversite")*($AD$26)
+COUNTIF($A$1,"2S-Kaptan-MYO")*($AD$27)
+COUNTIF($A$1,"2S-Kaptan-Lise")*($AD$28)
+COUNTIF($A$1,"2S-Kaptan-Ortaokul")*($AD$29)
+COUNTIF($A$1,"2S-Kaptan-İlkokul")*($AD$30)
+COUNTIF($A$1,"2S-Baş Makinist-Üniversite")*($AD$31)
+COUNTIF($A$1,"2S-Baş Makinist-MYO")*($AD$32)
+COUNTIF($A$1,"2S-Baş Makinist-Lise")*($AD$33)
+COUNTIF($A$1,"2S-Baş Makinist-Ortaokul")*($AD$34)
+COUNTIF($A$1,"2S-Baş Makinist-İlkokul")*($AD$35)
+COUNTIF($A$1,"2S-İkinci Kaptan-Üniversite")*($AD$36)
+COUNTIF($A$1,"2S-İkinci Kaptan-MYO")*($AD$37)
+COUNTIF($A$1,"2S-İkinci Kaptan-Lise")*($AD$38)
+COUNTIF($A$1,"2S-İkinci Kaptan-Ortaokul")*($AD$39)
+COUNTIF($A$1,"2S-İkinci Kaptan-İlkokul")*($AD$40)
+COUNTIF($A$1,"2S-Usta Gemici-Üniversite")*($AD$41)
+COUNTIF($A$1,"2S-Usta Gemici-MYO")*($AD$42)
+COUNTIF($A$1,"2S-Usta Gemici-Lise")*($AD$43)
+COUNTIF($A$1,"2S-Usta Gemici-Ortaokul")*($AD$44)
+COUNTIF($A$1,"2S-Usta Gemici-İlkokul")*($AD$45)
+COUNTIF($A$1,"2S-Yağcı-Üniversite")*($AD$46)
+COUNTIF($A$1,"2S-Yağcı-MYO")*($AD$47)
+COUNTIF($A$1,"2S-Yağcı-Lise")*($AD$48)
+COUNTIF($A$1,"2S-Yağcı-Ortaokul")*($AD$49)
+COUNTIF($A$1,"2S-Yağcı-İlkokul")*($AD$50)
+COUNTIF($A$1,"2S-Gemici-Üniversite")*($AD$51)
+COUNTIF($A$1,"2S-Gemici-MYO")*($AD$52)
+COUNTIF($A$1,"2S-Gemici-Lise")*($AD$53)
+COUNTIF($A$1,"2S-Gemici-Ortaokul")*($AD$54)
+COUNTIF($A$1,"2S-Gemici-İlkokul")*($AD$55)
+COUNTIF($A$1,"2S-Gemi Salon Sorumlusu-Üniversite")*($AD$56)
+COUNTIF($A$1,"2S-Gemi Salon Sorumlusu-MYO")*($AD$57)
+COUNTIF($A$1,"2S-Gemi Salon Sorumlusu-Lise")*($AD$58)
+COUNTIF($A$1,"2S-Gemi Salon Sorumlusu-Ortaokul")*($AD$59)
+COUNTIF($A$1,"2S-Gemi Salon Sorumlusu-İlkokul")*($AD$60)</f>
        <v>294.25</v>
      </c>
      <c r="AQ24" s="36" t="s">
        <v>0</v>
      </c>
      <c r="AR24" s="37">
        <f t="shared" si="113"/>
        <v>10828.159684714094</v>
      </c>
      <c r="AS24" s="38">
        <f t="shared" si="114"/>
        <v>9121.75</v>
      </c>
      <c r="AT24" s="50">
        <v>30</v>
      </c>
      <c r="AU24" s="39">
        <f>COUNTIF(H19,"Yok")*(0)
+COUNTIF(H19,"Askerlik Yardımı")*($BX$2/CM15)
+COUNTIF(H19,"Cenaze Yardımı (Anne-Baba)")*($BX$3+$BX$3*0.00759)
+COUNTIF(H19,"Cenaze Yardımı (Eş-Çocuk)")*($BX$4+$BX$4*0.00759)
+COUNTIF(H19,"Cenaze Yardımı (İşçi-İş Kazası Sonucu)")*($BX$5+$BX$5*0.00759)
+COUNTIF(H19,"Cenaze Yardımı (İşçi-Tabii Sebepler Sonucu)")*($BX$6+$BX$6*0.00759)
+COUNTIF(H19,"Çikolata Yardımı")*($BX$7+$BX$7*0.00759)
+COUNTIF(H19,"Doğal Afet Yardımı")*($BX$8+$BX$8*0.00759)
+COUNTIF(H19,"Doğum Yardımı (İşveren)")*($BX$9+$BX$9*0.00759)
+COUNTIF(H19,"Eğitim Yardımı (Çocuk-İlköğretim)")*($BX$10/CM15)
+COUNTIF(H19,"Eğitim Yardımı (Çocuk-Ortaöğretim)")*($BX$11/CM15)
+COUNTIF(H19,"Eğitim Yardımı (Çocuk-Lise)")*($BX$12/CM15)
+COUNTIF(H19,"Eğitim Yardımı (Çocuk-Yükseköğretim)")*($BX$13/CM15)
+COUNTIF(H19,"Eğitim Yardımı (İşçi-Lise)")*($BX$14/CM15)
+COUNTIF(H19,"Eğitim Yardımı (İşçi-Yükseköğretim)")*($BX$15/CM15)
+COUNTIF(H19,"Evlilik Yardımı")*($BX$16+$BX$16*0.00759)
+COUNTIF(H19,"Gıda Yardımı")*($BX$17/CM15)
+COUNTIF(H19,"İş Kazası veya Meslek Hastalığı Tazminatı")*($BX$18+$BX$18*0.00759)
+COUNTIF(H19,"Temizlik Yardımı")*($BX$19/CM15)
+COUNTIF(I19,"Yok")*(0)
+COUNTIF(I19,"Askerlik Yardımı")*($BX$2/CM15)
+COUNTIF(I19,"Cenaze Yardımı (Anne-Baba)")*($BX$3+$BX$3*0.00759)
+COUNTIF(I19,"Cenaze Yardımı (Eş-Çocuk)")*($BX$4+$BX$4*0.00759)
+COUNTIF(I19,"Cenaze Yardımı (İşçi-İş Kazası Sonucu)")*($BX$5+$BX$5*0.00759)
+COUNTIF(I19,"Cenaze Yardımı (İşçi-Tabii Sebepler Sonucu)")*($BX$6+$BX$6*0.00759)
+COUNTIF(I19,"Çikolata Yardımı")*($BX$7+$BX$7*0.00759)
+COUNTIF(I19,"Doğal Afet Yardımı")*($BX$8+$BX$8*0.00759)
+COUNTIF(I19,"Doğum Yardımı (İşveren)")*($BX$9+$BX$9*0.00759)
+COUNTIF(I19,"Eğitim Yardımı (Çocuk-İlköğretim)")*($BX$10/CM15)
+COUNTIF(I19,"Eğitim Yardımı (Çocuk-Ortaöğretim)")*($BX$11/CM15)
+COUNTIF(I19,"Eğitim Yardımı (Çocuk-Lise)")*($BX$12/CM15)
+COUNTIF(I19,"Eğitim Yardımı (Çocuk-Yükseköğretim)")*($BX$13/CM15)
+COUNTIF(I19,"Eğitim Yardımı (İşçi-Lise)")*($BX$14/CM15)
+COUNTIF(I19,"Eğitim Yardımı (İşçi-Yükseköğretim)")*($BX$15/CM15)
+COUNTIF(I19,"Evlilik Yardımı")*($BX$16+$BX$16*0.00759)
+COUNTIF(I19,"Gıda Yardımı")*($BX$17/CM15)
+COUNTIF(I19,"İş Kazası veya Meslek Hastalığı Tazminatı")*($BX$18+$BX$18*0.00759)
+COUNTIF(I19,"Temizlik Yardımı")*($BX$19/CM15)
+COUNTIF(J19,"Yok")*(0)
+COUNTIF(J19,"Askerlik Yardımı")*($BX$2/CM15)
+COUNTIF(J19,"Cenaze Yardımı (Anne-Baba)")*($BX$3+$BX$3*0.00759)
+COUNTIF(J19,"Cenaze Yardımı (Eş-Çocuk)")*($BX$4+$BX$4*0.00759)
+COUNTIF(J19,"Cenaze Yardımı (İşçi-İş Kazası Sonucu)")*($BX$5+$BX$5*0.00759)
+COUNTIF(J19,"Cenaze Yardımı (İşçi-Tabii Sebepler Sonucu)")*($BX$6+$BX$6*0.00759)
+COUNTIF(J19,"Çikolata Yardımı")*($BX$7+$BX$7*0.00759)
+COUNTIF(J19,"Doğal Afet Yardımı")*($BX$8+$BX$8*0.00759)
+COUNTIF(J19,"Doğum Yardımı (İşveren)")*($BX$9+$BX$9*0.00759)
+COUNTIF(J19,"Eğitim Yardımı (Çocuk-İlköğretim)")*($BX$10/CM15)
+COUNTIF(J19,"Eğitim Yardımı (Çocuk-Ortaöğretim)")*($BX$11/CM15)
+COUNTIF(J19,"Eğitim Yardımı (Çocuk-Lise)")*($BX$12/CM15)
+COUNTIF(J19,"Eğitim Yardımı (Çocuk-Yükseköğretim)")*($BX$13/CM15)
+COUNTIF(J19,"Eğitim Yardımı (İşçi-Lise)")*($BX$14/CM15)
+COUNTIF(J19,"Eğitim Yardımı (İşçi-Yükseköğretim)")*($BX$15/CM15)
+COUNTIF(J19,"Evlilik Yardımı")*($BX$16+$BX$16*0.00759)
+COUNTIF(J19,"Gıda Yardımı")*($BX$17/CM15)
+COUNTIF(J19,"İş Kazası veya Meslek Hastalığı Tazminatı")*($BX$18+$BX$18*0.00759)
+COUNTIF(J19,"Temizlik Yardımı")*($BX$19/CM15)</f>
        <v>0</v>
      </c>
      <c r="AV24" s="39">
        <f>COUNTIF(H19,"Yok")*(0)
+COUNTIF(H19,"Askerlik Yardımı")*(0)
+COUNTIF(H19,"Cenaze Yardımı (Anne-Baba)")*($BX$3+$BX$3*0.00759)
+COUNTIF(H19,"Cenaze Yardımı (Eş-Çocuk)")*($BX$4+$BX$4*0.00759)
+COUNTIF(H19,"Cenaze Yardımı (İşçi-İş Kazası Sonucu)")*($BX$5+$BX$5*0.00759)
+COUNTIF(H19,"Cenaze Yardımı (İşçi-Tabii Sebepler Sonucu)")*($BX$6+$BX$6*0.00759)
+COUNTIF(H19,"Çikolata Yardımı")*($BX$7+$BX$7*0.00759)
+COUNTIF(H19,"Doğal Afet Yardımı")*($BX$8+$BX$8*0.00759)
+COUNTIF(H19,"Doğum Yardımı (İşveren)")*($BX$9+$BX$9*0.00759)
+COUNTIF(H19,"Eğitim Yardımı (Çocuk-İlköğretim)")*(0)
+COUNTIF(H19,"Eğitim Yardımı (Çocuk-Ortaöğretim)")*(0)
+COUNTIF(H19,"Eğitim Yardımı (Çocuk-Lise)")*(0)
+COUNTIF(H19,"Eğitim Yardımı (Çocuk-Yükseköğretim)")*(0)
+COUNTIF(H19,"Eğitim Yardımı (İşçi-Lise)")*(0)
+COUNTIF(H19,"Eğitim Yardımı (İşçi-Yükseköğretim)")*(0)
+COUNTIF(H19,"Evlilik Yardımı")*($BX$16+$BX$16*0.00759)
+COUNTIF(H19,"Gıda Yardımı")*(0)
+COUNTIF(H19,"İş Kazası veya Meslek Hastalığı Tazminatı")*($BX$18+$BX$18*0.00759)
+COUNTIF(H19,"Temizlik Yardımı")*(0)
+COUNTIF(I19,"Yok")*(0)
+COUNTIF(I19,"Askerlik Yardımı")*(0)
+COUNTIF(I19,"Cenaze Yardımı (Anne-Baba)")*($BX$3+$BX$3*0.00759)
+COUNTIF(I19,"Cenaze Yardımı (Eş-Çocuk)")*($BX$4+$BX$4*0.00759)
+COUNTIF(I19,"Cenaze Yardımı (İşçi-İş Kazası Sonucu)")*($BX$5+$BX$5*0.00759)
+COUNTIF(I19,"Cenaze Yardımı (İşçi-Tabii Sebepler Sonucu)")*($BX$6+$BX$6*0.00759)
+COUNTIF(I19,"Çikolata Yardımı")*($BX$7+$BX$7*0.00759)
+COUNTIF(I19,"Doğal Afet Yardımı")*($BX$8+$BX$8*0.00759)
+COUNTIF(I19,"Doğum Yardımı (İşveren)")*($BX$9+$BX$9*0.00759)
+COUNTIF(I19,"Eğitim Yardımı (Çocuk-İlköğretim)")*(0)
+COUNTIF(I19,"Eğitim Yardımı (Çocuk-Ortaöğretim)")*(0)
+COUNTIF(I19,"Eğitim Yardımı (Çocuk-Lise)")*(0)
+COUNTIF(I19,"Eğitim Yardımı (Çocuk-Yükseköğretim)")*(0)
+COUNTIF(I19,"Eğitim Yardımı (İşçi-Lise)")*(0)
+COUNTIF(I19,"Eğitim Yardımı (İşçi-Yükseköğretim)")*(0)
+COUNTIF(I19,"Evlilik Yardımı")*($BX$16+$BX$16*0.00759)
+COUNTIF(I19,"Gıda Yardımı")*(0)
+COUNTIF(I19,"İş Kazası veya Meslek Hastalığı Tazminatı")*($BX$18+$BX$18*0.00759)
+COUNTIF(I19,"Temizlik Yardımı")*(0)
+COUNTIF(J19,"Yok")*(0)
+COUNTIF(J19,"Askerlik Yardımı")*(0)
+COUNTIF(J19,"Cenaze Yardımı (Anne-Baba)")*($BX$3+$BX$3*0.00759)
+COUNTIF(J19,"Cenaze Yardımı (Eş-Çocuk)")*($BX$4+$BX$4*0.00759)
+COUNTIF(J19,"Cenaze Yardımı (İşçi-İş Kazası Sonucu)")*($BX$5+$BX$5*0.00759)
+COUNTIF(J19,"Cenaze Yardımı (İşçi-Tabii Sebepler Sonucu)")*($BX$6+$BX$6*0.00759)
+COUNTIF(J19,"Çikolata Yardımı")*($BX$7+$BX$7*0.00759)
+COUNTIF(J19,"Doğal Afet Yardımı")*($BX$8+$BX$8*0.00759)
+COUNTIF(J19,"Doğum Yardımı (İşveren)")*($BX$9+$BX$9*0.00759)
+COUNTIF(J19,"Eğitim Yardımı (Çocuk-İlköğretim)")*(0)
+COUNTIF(J19,"Eğitim Yardımı (Çocuk-Ortaöğretim)")*(0)
+COUNTIF(J19,"Eğitim Yardımı (Çocuk-Lise)")*(0)
+COUNTIF(J19,"Eğitim Yardımı (Çocuk-Yükseköğretim)")*(0)
+COUNTIF(J19,"Eğitim Yardımı (İşçi-Lise)")*(0)
+COUNTIF(J19,"Eğitim Yardımı (İşçi-Yükseköğretim)")*(0)
+COUNTIF(J19,"Evlilik Yardımı")*($BX$16+$BX$16*0.00759)
+COUNTIF(J19,"Gıda Yardımı")*(0)
+COUNTIF(J19,"İş Kazası veya Meslek Hastalığı Tazminatı")*($BX$18+$BX$18*0.00759)
+COUNTIF(J19,"Temizlik Yardımı")*(0)</f>
        <v>0</v>
      </c>
      <c r="AW24" s="39">
        <f>COUNTIF(H19,"Yok")*(0)
+COUNTIF(H19,"Askerlik Yardımı")*($BX$2)
+COUNTIF(H19,"Cenaze Yardımı (Anne-Baba)")*($BX$3)
+COUNTIF(H19,"Cenaze Yardımı (Eş-Çocuk)")*($BX$4)
+COUNTIF(H19,"Cenaze Yardımı (İşçi-İş Kazası Sonucu)")*($BX$5)
+COUNTIF(H19,"Cenaze Yardımı (İşçi-Tabii Sebepler Sonucu)")*($BX$6)
+COUNTIF(H19,"Çikolata Yardımı")*($BX$7)
+COUNTIF(H19,"Doğal Afet Yardımı")*($BX$8)
+COUNTIF(H19,"Doğum Yardımı (İşveren)")*($BX$9)
+COUNTIF(H19,"Eğitim Yardımı (Çocuk-İlköğretim)")*($BX$10)
+COUNTIF(H19,"Eğitim Yardımı (Çocuk-Ortaöğretim)")*($BX$11)
+COUNTIF(H19,"Eğitim Yardımı (Çocuk-Lise)")*($BX$12)
+COUNTIF(H19,"Eğitim Yardımı (Çocuk-Yükseköğretim)")*($BX$13)
+COUNTIF(H19,"Eğitim Yardımı (İşçi-Lise)")*($BX$14)
+COUNTIF(H19,"Eğitim Yardımı (İşçi-Yükseköğretim)")*($BX$15)
+COUNTIF(H19,"Evlilik Yardımı")*($BX$16)
+COUNTIF(H19,"Gıda Yardımı")*($BX$17)
+COUNTIF(H19,"İş Kazası veya Meslek Hastalığı Tazminatı")*($BX$18)
+COUNTIF(H19,"Temizlik Yardımı")*($BX$19)
+COUNTIF(I19,"Yok")*(0)
+COUNTIF(I19,"Askerlik Yardımı")*($BX$2)
+COUNTIF(I19,"Cenaze Yardımı (Anne-Baba)")*($BX$3)
+COUNTIF(I19,"Cenaze Yardımı (Eş-Çocuk)")*($BX$4)
+COUNTIF(I19,"Cenaze Yardımı (İşçi-İş Kazası Sonucu)")*($BX$5)
+COUNTIF(I19,"Cenaze Yardımı (İşçi-Tabii Sebepler Sonucu)")*($BX$6)
+COUNTIF(I19,"Çikolata Yardımı")*($BX$7)
+COUNTIF(I19,"Doğal Afet Yardımı")*($BX$8)
+COUNTIF(I19,"Doğum Yardımı (İşveren)")*($BX$9)
+COUNTIF(I19,"Eğitim Yardımı (Çocuk-İlköğretim)")*($BX$10)
+COUNTIF(I19,"Eğitim Yardımı (Çocuk-Ortaöğretim)")*($BX$11)
+COUNTIF(I19,"Eğitim Yardımı (Çocuk-Lise)")*($BX$12)
+COUNTIF(I19,"Eğitim Yardımı (Çocuk-Yükseköğretim)")*($BX$13)
+COUNTIF(I19,"Eğitim Yardımı (İşçi-Lise)")*($BX$14)
+COUNTIF(I19,"Eğitim Yardımı (İşçi-Yükseköğretim)")*($BX$15)
+COUNTIF(I19,"Evlilik Yardımı")*($BX$16)
+COUNTIF(I19,"Gıda Yardımı")*($BX$17)
+COUNTIF(I19,"İş Kazası veya Meslek Hastalığı Tazminatı")*($BX$18)
+COUNTIF(I19,"Temizlik Yardımı")*($BX$19)
+COUNTIF(J19,"Yok")*(0)
+COUNTIF(J19,"Askerlik Yardımı")*($BX$2)
+COUNTIF(J19,"Cenaze Yardımı (Anne-Baba)")*($BX$3)
+COUNTIF(J19,"Cenaze Yardımı (Eş-Çocuk)")*($BX$4)
+COUNTIF(J19,"Cenaze Yardımı (İşçi-İş Kazası Sonucu)")*($BX$5)
+COUNTIF(J19,"Cenaze Yardımı (İşçi-Tabii Sebepler Sonucu)")*($BX$6)
+COUNTIF(J19,"Çikolata Yardımı")*($BX$7)
+COUNTIF(J19,"Doğal Afet Yardımı")*($BX$8)
+COUNTIF(J19,"Doğum Yardımı (İşveren)")*($BX$9)
+COUNTIF(J19,"Eğitim Yardımı (Çocuk-İlköğretim)")*($BX$10)
+COUNTIF(J19,"Eğitim Yardımı (Çocuk-Ortaöğretim)")*($BX$11)
+COUNTIF(J19,"Eğitim Yardımı (Çocuk-Lise)")*($BX$12)
+COUNTIF(J19,"Eğitim Yardımı (Çocuk-Yükseköğretim)")*($BX$13)
+COUNTIF(J19,"Eğitim Yardımı (İşçi-Lise)")*($BX$14)
+COUNTIF(J19,"Eğitim Yardımı (İşçi-Yükseköğretim)")*($BX$15)
+COUNTIF(J19,"Evlilik Yardımı")*($BX$16)
+COUNTIF(J19,"Gıda Yardımı")*($BX$17)
+COUNTIF(J19,"İş Kazası veya Meslek Hastalığı Tazminatı")*($BX$18)
+COUNTIF(J19,"Temizlik Yardımı")*($BX$19)</f>
        <v>0</v>
      </c>
      <c r="AX24" s="40" t="s">
        <v>12</v>
      </c>
      <c r="AY24" s="38">
        <f>COUNTIF(AX24,"Var")*(AK2*0.9*-1)</f>
        <v>-286.85556914091711</v>
      </c>
      <c r="AZ24" s="38">
        <f>(AY24*-1)</f>
        <v>286.85556914091711</v>
      </c>
      <c r="BG24" s="39">
        <f ca="1">(CS18*K22+BH24)*-1</f>
        <v>0</v>
      </c>
      <c r="BH24" s="39">
        <f ca="1">(AV8+AX8+AZ8-BE8)*(K22*-1)</f>
        <v>0</v>
      </c>
      <c r="BI24" s="39">
        <f ca="1">(BG24+BH24)</f>
        <v>0</v>
      </c>
      <c r="BJ24" s="38" t="s">
        <v>0</v>
      </c>
      <c r="BK24" s="38">
        <f>(6471)</f>
        <v>6471</v>
      </c>
      <c r="BL24" s="38">
        <f>(6471)</f>
        <v>6471</v>
      </c>
      <c r="BM24" s="38">
        <f>(BK24-BL24)</f>
        <v>0</v>
      </c>
      <c r="BN24" s="38">
        <f>(BM24*0.00759*-1)</f>
        <v>0</v>
      </c>
      <c r="BO24" s="38">
        <f>(0)</f>
        <v>0</v>
      </c>
      <c r="BP24" s="38">
        <f>(BK24-BO24)</f>
        <v>6471</v>
      </c>
      <c r="BQ24" s="38">
        <f>(BP24*0.14*-1)</f>
        <v>-905.94</v>
      </c>
      <c r="BR24" s="38">
        <f>(BP24*0.01*-1)</f>
        <v>-64.710000000000008</v>
      </c>
      <c r="BU24" s="38">
        <f t="shared" ca="1" si="88"/>
        <v>-2025.8917674475845</v>
      </c>
      <c r="BV24" s="38">
        <f t="shared" ca="1" si="89"/>
        <v>-144.70655481768461</v>
      </c>
      <c r="BW24" s="52" t="s">
        <v>0</v>
      </c>
      <c r="BX24" s="52" t="s">
        <v>0</v>
      </c>
      <c r="CJ24" s="38">
        <f t="shared" ref="CJ24" si="121">(CJ23/12)</f>
        <v>0</v>
      </c>
      <c r="CK24" s="38">
        <f t="shared" ref="CK24" si="122">(CK23/12)</f>
        <v>0</v>
      </c>
      <c r="CL24" s="38">
        <f t="shared" ref="CL24" si="123">(CL23/12)</f>
        <v>0</v>
      </c>
      <c r="CM24" s="36" t="s">
        <v>0</v>
      </c>
      <c r="CN24" s="36" t="s">
        <v>0</v>
      </c>
      <c r="CO24" s="36" t="s">
        <v>0</v>
      </c>
      <c r="CP24" s="44">
        <f>IF(CC16=0,CB16,(VLOOKUP($CB16,$BM$1:$BP$5,2,0)-CA15)/BZ16*CB15+(CA16-VLOOKUP($CB16,$BM$1:$BP$5,2,0))/BZ16*CB16)</f>
        <v>0.2</v>
      </c>
      <c r="CQ24" s="38">
        <f>(ROUND(BZ16*CP24,2))</f>
        <v>1100.07</v>
      </c>
      <c r="CR24" s="44">
        <f>(100+(100*0.00759*-1)+(100*0.01*-1)+(100*0.01*-1)+(100+100*0.14*-1+100*0.01*-1)*CP24*-1)/100</f>
        <v>0.80240999999999996</v>
      </c>
      <c r="CS24" s="38">
        <f>AY25</f>
        <v>6471</v>
      </c>
      <c r="CT24" s="38">
        <f>AY25+BB25+BE25+BF25</f>
        <v>5500.3499999999995</v>
      </c>
      <c r="CU24" s="38" t="s">
        <v>0</v>
      </c>
      <c r="CV24" s="38">
        <f ca="1">(AR24+AT10+AV10+AX10+AZ10+AE16+AK16+AN16+AQ16+BA3+BD3+BG5)</f>
        <v>17785.965161496857</v>
      </c>
      <c r="CW24" s="38">
        <f ca="1">(AR24+AT10+AV10+AX10+AZ10+AE16+AK16+AN16+AQ16+BA3+BD3+BG5)</f>
        <v>17785.965161496857</v>
      </c>
      <c r="CX24" s="38">
        <f ca="1">(CW24*0.00759*-1)</f>
        <v>-134.99547557576116</v>
      </c>
      <c r="CY24" s="38">
        <f>(AZ25)</f>
        <v>6471</v>
      </c>
      <c r="CZ24" s="38">
        <f>(CY24*0.00759*-1)</f>
        <v>-49.114890000000003</v>
      </c>
      <c r="DA24" s="38">
        <f ca="1">(CW24-CY24)</f>
        <v>11314.965161496857</v>
      </c>
      <c r="DB24" s="38">
        <f ca="1">(DA24*0.00759*-1)</f>
        <v>-85.880585575761145</v>
      </c>
      <c r="DF24" s="42">
        <v>22</v>
      </c>
      <c r="DG24" s="46">
        <v>11</v>
      </c>
      <c r="DH24" s="47">
        <v>0.24</v>
      </c>
      <c r="DI24" s="55"/>
    </row>
    <row r="25" spans="1:113" ht="39.950000000000003" customHeight="1" x14ac:dyDescent="0.25">
      <c r="A25" s="5">
        <f t="shared" si="79"/>
        <v>0</v>
      </c>
      <c r="B25" s="6" t="s">
        <v>23</v>
      </c>
      <c r="C25" s="14">
        <v>0</v>
      </c>
      <c r="D25" s="15">
        <v>40</v>
      </c>
      <c r="E25" s="15">
        <v>0</v>
      </c>
      <c r="F25" s="14">
        <v>20</v>
      </c>
      <c r="G25" s="14">
        <v>0</v>
      </c>
      <c r="H25" s="16" t="s">
        <v>1</v>
      </c>
      <c r="I25" s="16" t="s">
        <v>1</v>
      </c>
      <c r="J25" s="16" t="s">
        <v>1</v>
      </c>
      <c r="K25" s="17">
        <v>0</v>
      </c>
      <c r="L25" s="7">
        <f ca="1">(CQ7-BD4+BE20+AU26+CW7+DA7+DB7+CL21-M25)</f>
        <v>11203.433485366158</v>
      </c>
      <c r="M25" s="7">
        <f ca="1">(AW11+AY11+BA11+AV26)</f>
        <v>2872.625</v>
      </c>
      <c r="N25" s="8">
        <f t="shared" ca="1" si="82"/>
        <v>14076.058485366158</v>
      </c>
      <c r="O25" s="18" t="s">
        <v>0</v>
      </c>
      <c r="P25" s="19" t="s">
        <v>0</v>
      </c>
      <c r="Q25" s="19" t="s">
        <v>0</v>
      </c>
      <c r="R25" s="72"/>
      <c r="S25" s="71"/>
      <c r="T25" s="21" t="s">
        <v>0</v>
      </c>
      <c r="U25" s="26" t="s">
        <v>0</v>
      </c>
      <c r="V25" s="60"/>
      <c r="W25" s="61"/>
      <c r="X25" s="63"/>
      <c r="Y25" s="62"/>
      <c r="Z25" s="30"/>
      <c r="AA25" s="52" t="s">
        <v>111</v>
      </c>
      <c r="AB25" s="38">
        <v>196</v>
      </c>
      <c r="AC25" s="38">
        <v>208.27</v>
      </c>
      <c r="AD25" s="38">
        <v>208.27</v>
      </c>
      <c r="AE25" s="34">
        <f>(AF24+1)</f>
        <v>44866</v>
      </c>
      <c r="AF25" s="34">
        <f t="shared" si="106"/>
        <v>44895</v>
      </c>
      <c r="AG25" s="35">
        <f t="shared" si="107"/>
        <v>30</v>
      </c>
      <c r="AH25" s="35">
        <f t="shared" si="108"/>
        <v>26</v>
      </c>
      <c r="AI25" s="35">
        <f t="shared" si="109"/>
        <v>4</v>
      </c>
      <c r="AJ25" s="36" t="s">
        <v>0</v>
      </c>
      <c r="AK25" s="33">
        <f t="shared" si="110"/>
        <v>349.29547370045464</v>
      </c>
      <c r="AL25" s="33">
        <f>COUNTIF($A$1,"1S-Kaptan-Üniversite")*($AD$1)
+COUNTIF($A$1,"1S-Kaptan-MYO")*($AD$2)
+COUNTIF($A$1,"1S-Kaptan-Lise")*($AD$3)
+COUNTIF($A$1,"1S-Kaptan-Ortaokul")*($AD$4)
+COUNTIF($A$1,"1S-Kaptan-İlkokul")*($AD$5)
+COUNTIF($A$1,"1S-Baş Makinist-Üniversite")*($AD$6)
+COUNTIF($A$1,"1S-Baş Makinist-MYO")*($AD$7)
+COUNTIF($A$1,"1S-Baş Makinist-Lise")*($AD$8)
+COUNTIF($A$1,"1S-Baş Makinist-Ortaokul")*($AD$9)
+COUNTIF($A$1,"1S-Baş Makinist-İlkokul")*($AD$10)
+COUNTIF($A$1,"1S-İkinci Kaptan-Üniversite")*($AD$11)
+COUNTIF($A$1,"1S-İkinci Kaptan-MYO")*($AD$12)
+COUNTIF($A$1,"1S-İkinci Kaptan-Lise")*($AD$13)
+COUNTIF($A$1,"1S-İkinci Kaptan-Ortaokul")*($AD$14)
+COUNTIF($A$1,"1S-İkinci Kaptan-İlkokul")*($AD$15)
+COUNTIF($A$1,"1S-Usta Gemici-Üniversite")*($AD$16)
+COUNTIF($A$1,"1S-Usta Gemici-MYO")*($AD$17)
+COUNTIF($A$1,"1S-Usta Gemici-Lise")*($AD$18)
+COUNTIF($A$1,"1S-Usta Gemici-Ortaokul")*($AD$19)
+COUNTIF($A$1,"1S-Usta Gemici-İlkokul")*($AD$20)
+COUNTIF($A$1,"1S-Yağcı-Üniversite")*($AD$21)
+COUNTIF($A$1,"1S-Yağcı-MYO")*($AD$22)
+COUNTIF($A$1,"1S-Yağcı-Lise")*($AD$23)
+COUNTIF($A$1,"1S-Yağcı-Ortaokul")*($AD$24)
+COUNTIF($A$1,"1S-Yağcı-İlkokul")*($AD$25)
+COUNTIF($A$1,"2S-Kaptan-Üniversite")*($AD$26)
+COUNTIF($A$1,"2S-Kaptan-MYO")*($AD$27)
+COUNTIF($A$1,"2S-Kaptan-Lise")*($AD$28)
+COUNTIF($A$1,"2S-Kaptan-Ortaokul")*($AD$29)
+COUNTIF($A$1,"2S-Kaptan-İlkokul")*($AD$30)
+COUNTIF($A$1,"2S-Baş Makinist-Üniversite")*($AD$31)
+COUNTIF($A$1,"2S-Baş Makinist-MYO")*($AD$32)
+COUNTIF($A$1,"2S-Baş Makinist-Lise")*($AD$33)
+COUNTIF($A$1,"2S-Baş Makinist-Ortaokul")*($AD$34)
+COUNTIF($A$1,"2S-Baş Makinist-İlkokul")*($AD$35)
+COUNTIF($A$1,"2S-İkinci Kaptan-Üniversite")*($AD$36)
+COUNTIF($A$1,"2S-İkinci Kaptan-MYO")*($AD$37)
+COUNTIF($A$1,"2S-İkinci Kaptan-Lise")*($AD$38)
+COUNTIF($A$1,"2S-İkinci Kaptan-Ortaokul")*($AD$39)
+COUNTIF($A$1,"2S-İkinci Kaptan-İlkokul")*($AD$40)
+COUNTIF($A$1,"2S-Usta Gemici-Üniversite")*($AD$41)
+COUNTIF($A$1,"2S-Usta Gemici-MYO")*($AD$42)
+COUNTIF($A$1,"2S-Usta Gemici-Lise")*($AD$43)
+COUNTIF($A$1,"2S-Usta Gemici-Ortaokul")*($AD$44)
+COUNTIF($A$1,"2S-Usta Gemici-İlkokul")*($AD$45)
+COUNTIF($A$1,"2S-Yağcı-Üniversite")*($AD$46)
+COUNTIF($A$1,"2S-Yağcı-MYO")*($AD$47)
+COUNTIF($A$1,"2S-Yağcı-Lise")*($AD$48)
+COUNTIF($A$1,"2S-Yağcı-Ortaokul")*($AD$49)
+COUNTIF($A$1,"2S-Yağcı-İlkokul")*($AD$50)
+COUNTIF($A$1,"2S-Gemici-Üniversite")*($AD$51)
+COUNTIF($A$1,"2S-Gemici-MYO")*($AD$52)
+COUNTIF($A$1,"2S-Gemici-Lise")*($AD$53)
+COUNTIF($A$1,"2S-Gemici-Ortaokul")*($AD$54)
+COUNTIF($A$1,"2S-Gemici-İlkokul")*($AD$55)
+COUNTIF($A$1,"2S-Gemi Salon Sorumlusu-Üniversite")*($AD$56)
+COUNTIF($A$1,"2S-Gemi Salon Sorumlusu-MYO")*($AD$57)
+COUNTIF($A$1,"2S-Gemi Salon Sorumlusu-Lise")*($AD$58)
+COUNTIF($A$1,"2S-Gemi Salon Sorumlusu-Ortaokul")*($AD$59)
+COUNTIF($A$1,"2S-Gemi Salon Sorumlusu-İlkokul")*($AD$60)</f>
        <v>294.25</v>
      </c>
      <c r="AM25" s="33">
        <f t="shared" si="111"/>
        <v>349.29547370045464</v>
      </c>
      <c r="AN25" s="33">
        <f>COUNTIF($A$1,"1S-Kaptan-Üniversite")*($AD$1)
+COUNTIF($A$1,"1S-Kaptan-MYO")*($AD$2)
+COUNTIF($A$1,"1S-Kaptan-Lise")*($AD$3)
+COUNTIF($A$1,"1S-Kaptan-Ortaokul")*($AD$4)
+COUNTIF($A$1,"1S-Kaptan-İlkokul")*($AD$5)
+COUNTIF($A$1,"1S-Baş Makinist-Üniversite")*($AD$6)
+COUNTIF($A$1,"1S-Baş Makinist-MYO")*($AD$7)
+COUNTIF($A$1,"1S-Baş Makinist-Lise")*($AD$8)
+COUNTIF($A$1,"1S-Baş Makinist-Ortaokul")*($AD$9)
+COUNTIF($A$1,"1S-Baş Makinist-İlkokul")*($AD$10)
+COUNTIF($A$1,"1S-İkinci Kaptan-Üniversite")*($AD$11)
+COUNTIF($A$1,"1S-İkinci Kaptan-MYO")*($AD$12)
+COUNTIF($A$1,"1S-İkinci Kaptan-Lise")*($AD$13)
+COUNTIF($A$1,"1S-İkinci Kaptan-Ortaokul")*($AD$14)
+COUNTIF($A$1,"1S-İkinci Kaptan-İlkokul")*($AD$15)
+COUNTIF($A$1,"1S-Usta Gemici-Üniversite")*($AD$16)
+COUNTIF($A$1,"1S-Usta Gemici-MYO")*($AD$17)
+COUNTIF($A$1,"1S-Usta Gemici-Lise")*($AD$18)
+COUNTIF($A$1,"1S-Usta Gemici-Ortaokul")*($AD$19)
+COUNTIF($A$1,"1S-Usta Gemici-İlkokul")*($AD$20)
+COUNTIF($A$1,"1S-Yağcı-Üniversite")*($AD$21)
+COUNTIF($A$1,"1S-Yağcı-MYO")*($AD$22)
+COUNTIF($A$1,"1S-Yağcı-Lise")*($AD$23)
+COUNTIF($A$1,"1S-Yağcı-Ortaokul")*($AD$24)
+COUNTIF($A$1,"1S-Yağcı-İlkokul")*($AD$25)
+COUNTIF($A$1,"2S-Kaptan-Üniversite")*($AD$26)
+COUNTIF($A$1,"2S-Kaptan-MYO")*($AD$27)
+COUNTIF($A$1,"2S-Kaptan-Lise")*($AD$28)
+COUNTIF($A$1,"2S-Kaptan-Ortaokul")*($AD$29)
+COUNTIF($A$1,"2S-Kaptan-İlkokul")*($AD$30)
+COUNTIF($A$1,"2S-Baş Makinist-Üniversite")*($AD$31)
+COUNTIF($A$1,"2S-Baş Makinist-MYO")*($AD$32)
+COUNTIF($A$1,"2S-Baş Makinist-Lise")*($AD$33)
+COUNTIF($A$1,"2S-Baş Makinist-Ortaokul")*($AD$34)
+COUNTIF($A$1,"2S-Baş Makinist-İlkokul")*($AD$35)
+COUNTIF($A$1,"2S-İkinci Kaptan-Üniversite")*($AD$36)
+COUNTIF($A$1,"2S-İkinci Kaptan-MYO")*($AD$37)
+COUNTIF($A$1,"2S-İkinci Kaptan-Lise")*($AD$38)
+COUNTIF($A$1,"2S-İkinci Kaptan-Ortaokul")*($AD$39)
+COUNTIF($A$1,"2S-İkinci Kaptan-İlkokul")*($AD$40)
+COUNTIF($A$1,"2S-Usta Gemici-Üniversite")*($AD$41)
+COUNTIF($A$1,"2S-Usta Gemici-MYO")*($AD$42)
+COUNTIF($A$1,"2S-Usta Gemici-Lise")*($AD$43)
+COUNTIF($A$1,"2S-Usta Gemici-Ortaokul")*($AD$44)
+COUNTIF($A$1,"2S-Usta Gemici-İlkokul")*($AD$45)
+COUNTIF($A$1,"2S-Yağcı-Üniversite")*($AD$46)
+COUNTIF($A$1,"2S-Yağcı-MYO")*($AD$47)
+COUNTIF($A$1,"2S-Yağcı-Lise")*($AD$48)
+COUNTIF($A$1,"2S-Yağcı-Ortaokul")*($AD$49)
+COUNTIF($A$1,"2S-Yağcı-İlkokul")*($AD$50)
+COUNTIF($A$1,"2S-Gemici-Üniversite")*($AD$51)
+COUNTIF($A$1,"2S-Gemici-MYO")*($AD$52)
+COUNTIF($A$1,"2S-Gemici-Lise")*($AD$53)
+COUNTIF($A$1,"2S-Gemici-Ortaokul")*($AD$54)
+COUNTIF($A$1,"2S-Gemici-İlkokul")*($AD$55)
+COUNTIF($A$1,"2S-Gemi Salon Sorumlusu-Üniversite")*($AD$56)
+COUNTIF($A$1,"2S-Gemi Salon Sorumlusu-MYO")*($AD$57)
+COUNTIF($A$1,"2S-Gemi Salon Sorumlusu-Lise")*($AD$58)
+COUNTIF($A$1,"2S-Gemi Salon Sorumlusu-Ortaokul")*($AD$59)
+COUNTIF($A$1,"2S-Gemi Salon Sorumlusu-İlkokul")*($AD$60)</f>
        <v>294.25</v>
      </c>
      <c r="AO25" s="33">
        <f t="shared" si="112"/>
        <v>349.29547370045464</v>
      </c>
      <c r="AP25" s="33">
        <f>COUNTIF($A$1,"1S-Kaptan-Üniversite")*($AD$1)
+COUNTIF($A$1,"1S-Kaptan-MYO")*($AD$2)
+COUNTIF($A$1,"1S-Kaptan-Lise")*($AD$3)
+COUNTIF($A$1,"1S-Kaptan-Ortaokul")*($AD$4)
+COUNTIF($A$1,"1S-Kaptan-İlkokul")*($AD$5)
+COUNTIF($A$1,"1S-Baş Makinist-Üniversite")*($AD$6)
+COUNTIF($A$1,"1S-Baş Makinist-MYO")*($AD$7)
+COUNTIF($A$1,"1S-Baş Makinist-Lise")*($AD$8)
+COUNTIF($A$1,"1S-Baş Makinist-Ortaokul")*($AD$9)
+COUNTIF($A$1,"1S-Baş Makinist-İlkokul")*($AD$10)
+COUNTIF($A$1,"1S-İkinci Kaptan-Üniversite")*($AD$11)
+COUNTIF($A$1,"1S-İkinci Kaptan-MYO")*($AD$12)
+COUNTIF($A$1,"1S-İkinci Kaptan-Lise")*($AD$13)
+COUNTIF($A$1,"1S-İkinci Kaptan-Ortaokul")*($AD$14)
+COUNTIF($A$1,"1S-İkinci Kaptan-İlkokul")*($AD$15)
+COUNTIF($A$1,"1S-Usta Gemici-Üniversite")*($AD$16)
+COUNTIF($A$1,"1S-Usta Gemici-MYO")*($AD$17)
+COUNTIF($A$1,"1S-Usta Gemici-Lise")*($AD$18)
+COUNTIF($A$1,"1S-Usta Gemici-Ortaokul")*($AD$19)
+COUNTIF($A$1,"1S-Usta Gemici-İlkokul")*($AD$20)
+COUNTIF($A$1,"1S-Yağcı-Üniversite")*($AD$21)
+COUNTIF($A$1,"1S-Yağcı-MYO")*($AD$22)
+COUNTIF($A$1,"1S-Yağcı-Lise")*($AD$23)
+COUNTIF($A$1,"1S-Yağcı-Ortaokul")*($AD$24)
+COUNTIF($A$1,"1S-Yağcı-İlkokul")*($AD$25)
+COUNTIF($A$1,"2S-Kaptan-Üniversite")*($AD$26)
+COUNTIF($A$1,"2S-Kaptan-MYO")*($AD$27)
+COUNTIF($A$1,"2S-Kaptan-Lise")*($AD$28)
+COUNTIF($A$1,"2S-Kaptan-Ortaokul")*($AD$29)
+COUNTIF($A$1,"2S-Kaptan-İlkokul")*($AD$30)
+COUNTIF($A$1,"2S-Baş Makinist-Üniversite")*($AD$31)
+COUNTIF($A$1,"2S-Baş Makinist-MYO")*($AD$32)
+COUNTIF($A$1,"2S-Baş Makinist-Lise")*($AD$33)
+COUNTIF($A$1,"2S-Baş Makinist-Ortaokul")*($AD$34)
+COUNTIF($A$1,"2S-Baş Makinist-İlkokul")*($AD$35)
+COUNTIF($A$1,"2S-İkinci Kaptan-Üniversite")*($AD$36)
+COUNTIF($A$1,"2S-İkinci Kaptan-MYO")*($AD$37)
+COUNTIF($A$1,"2S-İkinci Kaptan-Lise")*($AD$38)
+COUNTIF($A$1,"2S-İkinci Kaptan-Ortaokul")*($AD$39)
+COUNTIF($A$1,"2S-İkinci Kaptan-İlkokul")*($AD$40)
+COUNTIF($A$1,"2S-Usta Gemici-Üniversite")*($AD$41)
+COUNTIF($A$1,"2S-Usta Gemici-MYO")*($AD$42)
+COUNTIF($A$1,"2S-Usta Gemici-Lise")*($AD$43)
+COUNTIF($A$1,"2S-Usta Gemici-Ortaokul")*($AD$44)
+COUNTIF($A$1,"2S-Usta Gemici-İlkokul")*($AD$45)
+COUNTIF($A$1,"2S-Yağcı-Üniversite")*($AD$46)
+COUNTIF($A$1,"2S-Yağcı-MYO")*($AD$47)
+COUNTIF($A$1,"2S-Yağcı-Lise")*($AD$48)
+COUNTIF($A$1,"2S-Yağcı-Ortaokul")*($AD$49)
+COUNTIF($A$1,"2S-Yağcı-İlkokul")*($AD$50)
+COUNTIF($A$1,"2S-Gemici-Üniversite")*($AD$51)
+COUNTIF($A$1,"2S-Gemici-MYO")*($AD$52)
+COUNTIF($A$1,"2S-Gemici-Lise")*($AD$53)
+COUNTIF($A$1,"2S-Gemici-Ortaokul")*($AD$54)
+COUNTIF($A$1,"2S-Gemici-İlkokul")*($AD$55)
+COUNTIF($A$1,"2S-Gemi Salon Sorumlusu-Üniversite")*($AD$56)
+COUNTIF($A$1,"2S-Gemi Salon Sorumlusu-MYO")*($AD$57)
+COUNTIF($A$1,"2S-Gemi Salon Sorumlusu-Lise")*($AD$58)
+COUNTIF($A$1,"2S-Gemi Salon Sorumlusu-Ortaokul")*($AD$59)
+COUNTIF($A$1,"2S-Gemi Salon Sorumlusu-İlkokul")*($AD$60)</f>
        <v>294.25</v>
      </c>
      <c r="AQ25" s="36" t="s">
        <v>0</v>
      </c>
      <c r="AR25" s="37">
        <f t="shared" si="113"/>
        <v>10478.864211013639</v>
      </c>
      <c r="AS25" s="38">
        <f t="shared" si="114"/>
        <v>8827.5</v>
      </c>
      <c r="AT25" s="50">
        <v>30</v>
      </c>
      <c r="AU25" s="39">
        <f ca="1">(CS20*K24+AV25)*-1</f>
        <v>0</v>
      </c>
      <c r="AV25" s="39">
        <f ca="1">(AV10+AX10+AZ10-BE10)*(K24*-1)</f>
        <v>0</v>
      </c>
      <c r="AW25" s="39">
        <f ca="1">(AU25+AV25)</f>
        <v>0</v>
      </c>
      <c r="AX25" s="38" t="s">
        <v>0</v>
      </c>
      <c r="AY25" s="38">
        <f>(6471)</f>
        <v>6471</v>
      </c>
      <c r="AZ25" s="38">
        <f>(6471)</f>
        <v>6471</v>
      </c>
      <c r="BA25" s="38">
        <f>(AY25-AZ25)</f>
        <v>0</v>
      </c>
      <c r="BB25" s="38">
        <f>(BA25*0.00759*-1)</f>
        <v>0</v>
      </c>
      <c r="BC25" s="38">
        <f>(0)</f>
        <v>0</v>
      </c>
      <c r="BD25" s="38">
        <f>(AY25-BC25)</f>
        <v>6471</v>
      </c>
      <c r="BE25" s="38">
        <f>(BD25*0.14*-1)</f>
        <v>-905.94</v>
      </c>
      <c r="BF25" s="38">
        <f>(BD25*0.01*-1)</f>
        <v>-64.710000000000008</v>
      </c>
      <c r="BG25" s="39">
        <f ca="1">(CS19*K23+BH25)*-1</f>
        <v>0</v>
      </c>
      <c r="BH25" s="39">
        <f ca="1">(AV9+AX9+AZ9-BE9)*(K23*-1)</f>
        <v>0</v>
      </c>
      <c r="BI25" s="39">
        <f ca="1">(BG25+BH25)</f>
        <v>0</v>
      </c>
      <c r="BJ25" s="38" t="s">
        <v>0</v>
      </c>
      <c r="BK25" s="38">
        <f>(6471)</f>
        <v>6471</v>
      </c>
      <c r="BL25" s="38">
        <f>(6471)</f>
        <v>6471</v>
      </c>
      <c r="BM25" s="38">
        <f>(BK25-BL25)</f>
        <v>0</v>
      </c>
      <c r="BN25" s="38">
        <f>(BM25*0.00759*-1)</f>
        <v>0</v>
      </c>
      <c r="BO25" s="38">
        <f>(0)</f>
        <v>0</v>
      </c>
      <c r="BP25" s="38">
        <f>(BK25-BO25)</f>
        <v>6471</v>
      </c>
      <c r="BQ25" s="38">
        <f>(BP25*0.14*-1)</f>
        <v>-905.94</v>
      </c>
      <c r="BR25" s="38">
        <f>(BP25*0.01*-1)</f>
        <v>-64.710000000000008</v>
      </c>
      <c r="BU25" s="38">
        <f t="shared" ca="1" si="88"/>
        <v>-3730.8127679105419</v>
      </c>
      <c r="BV25" s="38">
        <f t="shared" ca="1" si="89"/>
        <v>-266.48662627932441</v>
      </c>
      <c r="BW25" s="52" t="s">
        <v>0</v>
      </c>
      <c r="BX25" s="52" t="s">
        <v>0</v>
      </c>
      <c r="DF25" s="42">
        <v>23</v>
      </c>
      <c r="DG25" s="46">
        <v>11.5</v>
      </c>
      <c r="DH25" s="47">
        <v>0.25</v>
      </c>
      <c r="DI25" s="55"/>
    </row>
    <row r="26" spans="1:113" ht="39.950000000000003" customHeight="1" x14ac:dyDescent="0.25">
      <c r="A26" s="5">
        <f t="shared" si="79"/>
        <v>0</v>
      </c>
      <c r="B26" s="6" t="s">
        <v>24</v>
      </c>
      <c r="C26" s="14">
        <v>0</v>
      </c>
      <c r="D26" s="15">
        <v>40</v>
      </c>
      <c r="E26" s="15">
        <v>0</v>
      </c>
      <c r="F26" s="14">
        <v>20</v>
      </c>
      <c r="G26" s="14">
        <v>0</v>
      </c>
      <c r="H26" s="16" t="s">
        <v>1</v>
      </c>
      <c r="I26" s="16" t="s">
        <v>1</v>
      </c>
      <c r="J26" s="16" t="s">
        <v>1</v>
      </c>
      <c r="K26" s="17">
        <v>0</v>
      </c>
      <c r="L26" s="7">
        <f ca="1">(CQ8-BD5+BE21+AU27+CW8+DA8+DB8+CL22-M26)</f>
        <v>20325.183485366157</v>
      </c>
      <c r="M26" s="7">
        <f ca="1">(AW12+AY12+BA12+AV27)</f>
        <v>2872.625</v>
      </c>
      <c r="N26" s="8">
        <f t="shared" ca="1" si="82"/>
        <v>23197.808485366157</v>
      </c>
      <c r="O26" s="18" t="s">
        <v>0</v>
      </c>
      <c r="P26" s="19" t="s">
        <v>0</v>
      </c>
      <c r="Q26" s="19" t="s">
        <v>0</v>
      </c>
      <c r="R26" s="72"/>
      <c r="S26" s="71"/>
      <c r="T26" s="21" t="s">
        <v>0</v>
      </c>
      <c r="U26" s="26" t="s">
        <v>0</v>
      </c>
      <c r="V26" s="60"/>
      <c r="W26" s="61"/>
      <c r="X26" s="63"/>
      <c r="Y26" s="62"/>
      <c r="Z26" s="30"/>
      <c r="AA26" s="52" t="s">
        <v>112</v>
      </c>
      <c r="AB26" s="38">
        <v>268.5</v>
      </c>
      <c r="AC26" s="38">
        <v>268.5</v>
      </c>
      <c r="AD26" s="33">
        <v>294.25</v>
      </c>
      <c r="AE26" s="34">
        <f>(AF25+1)</f>
        <v>44896</v>
      </c>
      <c r="AF26" s="34">
        <f t="shared" si="106"/>
        <v>44926</v>
      </c>
      <c r="AG26" s="35">
        <f t="shared" si="107"/>
        <v>31</v>
      </c>
      <c r="AH26" s="35">
        <f t="shared" si="108"/>
        <v>27</v>
      </c>
      <c r="AI26" s="35">
        <f t="shared" si="109"/>
        <v>4</v>
      </c>
      <c r="AJ26" s="36" t="s">
        <v>0</v>
      </c>
      <c r="AK26" s="33">
        <f t="shared" si="110"/>
        <v>349.29547370045464</v>
      </c>
      <c r="AL26" s="33">
        <f>COUNTIF($A$1,"1S-Kaptan-Üniversite")*($AD$1)
+COUNTIF($A$1,"1S-Kaptan-MYO")*($AD$2)
+COUNTIF($A$1,"1S-Kaptan-Lise")*($AD$3)
+COUNTIF($A$1,"1S-Kaptan-Ortaokul")*($AD$4)
+COUNTIF($A$1,"1S-Kaptan-İlkokul")*($AD$5)
+COUNTIF($A$1,"1S-Baş Makinist-Üniversite")*($AD$6)
+COUNTIF($A$1,"1S-Baş Makinist-MYO")*($AD$7)
+COUNTIF($A$1,"1S-Baş Makinist-Lise")*($AD$8)
+COUNTIF($A$1,"1S-Baş Makinist-Ortaokul")*($AD$9)
+COUNTIF($A$1,"1S-Baş Makinist-İlkokul")*($AD$10)
+COUNTIF($A$1,"1S-İkinci Kaptan-Üniversite")*($AD$11)
+COUNTIF($A$1,"1S-İkinci Kaptan-MYO")*($AD$12)
+COUNTIF($A$1,"1S-İkinci Kaptan-Lise")*($AD$13)
+COUNTIF($A$1,"1S-İkinci Kaptan-Ortaokul")*($AD$14)
+COUNTIF($A$1,"1S-İkinci Kaptan-İlkokul")*($AD$15)
+COUNTIF($A$1,"1S-Usta Gemici-Üniversite")*($AD$16)
+COUNTIF($A$1,"1S-Usta Gemici-MYO")*($AD$17)
+COUNTIF($A$1,"1S-Usta Gemici-Lise")*($AD$18)
+COUNTIF($A$1,"1S-Usta Gemici-Ortaokul")*($AD$19)
+COUNTIF($A$1,"1S-Usta Gemici-İlkokul")*($AD$20)
+COUNTIF($A$1,"1S-Yağcı-Üniversite")*($AD$21)
+COUNTIF($A$1,"1S-Yağcı-MYO")*($AD$22)
+COUNTIF($A$1,"1S-Yağcı-Lise")*($AD$23)
+COUNTIF($A$1,"1S-Yağcı-Ortaokul")*($AD$24)
+COUNTIF($A$1,"1S-Yağcı-İlkokul")*($AD$25)
+COUNTIF($A$1,"2S-Kaptan-Üniversite")*($AD$26)
+COUNTIF($A$1,"2S-Kaptan-MYO")*($AD$27)
+COUNTIF($A$1,"2S-Kaptan-Lise")*($AD$28)
+COUNTIF($A$1,"2S-Kaptan-Ortaokul")*($AD$29)
+COUNTIF($A$1,"2S-Kaptan-İlkokul")*($AD$30)
+COUNTIF($A$1,"2S-Baş Makinist-Üniversite")*($AD$31)
+COUNTIF($A$1,"2S-Baş Makinist-MYO")*($AD$32)
+COUNTIF($A$1,"2S-Baş Makinist-Lise")*($AD$33)
+COUNTIF($A$1,"2S-Baş Makinist-Ortaokul")*($AD$34)
+COUNTIF($A$1,"2S-Baş Makinist-İlkokul")*($AD$35)
+COUNTIF($A$1,"2S-İkinci Kaptan-Üniversite")*($AD$36)
+COUNTIF($A$1,"2S-İkinci Kaptan-MYO")*($AD$37)
+COUNTIF($A$1,"2S-İkinci Kaptan-Lise")*($AD$38)
+COUNTIF($A$1,"2S-İkinci Kaptan-Ortaokul")*($AD$39)
+COUNTIF($A$1,"2S-İkinci Kaptan-İlkokul")*($AD$40)
+COUNTIF($A$1,"2S-Usta Gemici-Üniversite")*($AD$41)
+COUNTIF($A$1,"2S-Usta Gemici-MYO")*($AD$42)
+COUNTIF($A$1,"2S-Usta Gemici-Lise")*($AD$43)
+COUNTIF($A$1,"2S-Usta Gemici-Ortaokul")*($AD$44)
+COUNTIF($A$1,"2S-Usta Gemici-İlkokul")*($AD$45)
+COUNTIF($A$1,"2S-Yağcı-Üniversite")*($AD$46)
+COUNTIF($A$1,"2S-Yağcı-MYO")*($AD$47)
+COUNTIF($A$1,"2S-Yağcı-Lise")*($AD$48)
+COUNTIF($A$1,"2S-Yağcı-Ortaokul")*($AD$49)
+COUNTIF($A$1,"2S-Yağcı-İlkokul")*($AD$50)
+COUNTIF($A$1,"2S-Gemici-Üniversite")*($AD$51)
+COUNTIF($A$1,"2S-Gemici-MYO")*($AD$52)
+COUNTIF($A$1,"2S-Gemici-Lise")*($AD$53)
+COUNTIF($A$1,"2S-Gemici-Ortaokul")*($AD$54)
+COUNTIF($A$1,"2S-Gemici-İlkokul")*($AD$55)
+COUNTIF($A$1,"2S-Gemi Salon Sorumlusu-Üniversite")*($AD$56)
+COUNTIF($A$1,"2S-Gemi Salon Sorumlusu-MYO")*($AD$57)
+COUNTIF($A$1,"2S-Gemi Salon Sorumlusu-Lise")*($AD$58)
+COUNTIF($A$1,"2S-Gemi Salon Sorumlusu-Ortaokul")*($AD$59)
+COUNTIF($A$1,"2S-Gemi Salon Sorumlusu-İlkokul")*($AD$60)</f>
        <v>294.25</v>
      </c>
      <c r="AM26" s="33">
        <f t="shared" si="111"/>
        <v>349.29547370045464</v>
      </c>
      <c r="AN26" s="33">
        <f>COUNTIF($A$1,"1S-Kaptan-Üniversite")*($AD$1)
+COUNTIF($A$1,"1S-Kaptan-MYO")*($AD$2)
+COUNTIF($A$1,"1S-Kaptan-Lise")*($AD$3)
+COUNTIF($A$1,"1S-Kaptan-Ortaokul")*($AD$4)
+COUNTIF($A$1,"1S-Kaptan-İlkokul")*($AD$5)
+COUNTIF($A$1,"1S-Baş Makinist-Üniversite")*($AD$6)
+COUNTIF($A$1,"1S-Baş Makinist-MYO")*($AD$7)
+COUNTIF($A$1,"1S-Baş Makinist-Lise")*($AD$8)
+COUNTIF($A$1,"1S-Baş Makinist-Ortaokul")*($AD$9)
+COUNTIF($A$1,"1S-Baş Makinist-İlkokul")*($AD$10)
+COUNTIF($A$1,"1S-İkinci Kaptan-Üniversite")*($AD$11)
+COUNTIF($A$1,"1S-İkinci Kaptan-MYO")*($AD$12)
+COUNTIF($A$1,"1S-İkinci Kaptan-Lise")*($AD$13)
+COUNTIF($A$1,"1S-İkinci Kaptan-Ortaokul")*($AD$14)
+COUNTIF($A$1,"1S-İkinci Kaptan-İlkokul")*($AD$15)
+COUNTIF($A$1,"1S-Usta Gemici-Üniversite")*($AD$16)
+COUNTIF($A$1,"1S-Usta Gemici-MYO")*($AD$17)
+COUNTIF($A$1,"1S-Usta Gemici-Lise")*($AD$18)
+COUNTIF($A$1,"1S-Usta Gemici-Ortaokul")*($AD$19)
+COUNTIF($A$1,"1S-Usta Gemici-İlkokul")*($AD$20)
+COUNTIF($A$1,"1S-Yağcı-Üniversite")*($AD$21)
+COUNTIF($A$1,"1S-Yağcı-MYO")*($AD$22)
+COUNTIF($A$1,"1S-Yağcı-Lise")*($AD$23)
+COUNTIF($A$1,"1S-Yağcı-Ortaokul")*($AD$24)
+COUNTIF($A$1,"1S-Yağcı-İlkokul")*($AD$25)
+COUNTIF($A$1,"2S-Kaptan-Üniversite")*($AD$26)
+COUNTIF($A$1,"2S-Kaptan-MYO")*($AD$27)
+COUNTIF($A$1,"2S-Kaptan-Lise")*($AD$28)
+COUNTIF($A$1,"2S-Kaptan-Ortaokul")*($AD$29)
+COUNTIF($A$1,"2S-Kaptan-İlkokul")*($AD$30)
+COUNTIF($A$1,"2S-Baş Makinist-Üniversite")*($AD$31)
+COUNTIF($A$1,"2S-Baş Makinist-MYO")*($AD$32)
+COUNTIF($A$1,"2S-Baş Makinist-Lise")*($AD$33)
+COUNTIF($A$1,"2S-Baş Makinist-Ortaokul")*($AD$34)
+COUNTIF($A$1,"2S-Baş Makinist-İlkokul")*($AD$35)
+COUNTIF($A$1,"2S-İkinci Kaptan-Üniversite")*($AD$36)
+COUNTIF($A$1,"2S-İkinci Kaptan-MYO")*($AD$37)
+COUNTIF($A$1,"2S-İkinci Kaptan-Lise")*($AD$38)
+COUNTIF($A$1,"2S-İkinci Kaptan-Ortaokul")*($AD$39)
+COUNTIF($A$1,"2S-İkinci Kaptan-İlkokul")*($AD$40)
+COUNTIF($A$1,"2S-Usta Gemici-Üniversite")*($AD$41)
+COUNTIF($A$1,"2S-Usta Gemici-MYO")*($AD$42)
+COUNTIF($A$1,"2S-Usta Gemici-Lise")*($AD$43)
+COUNTIF($A$1,"2S-Usta Gemici-Ortaokul")*($AD$44)
+COUNTIF($A$1,"2S-Usta Gemici-İlkokul")*($AD$45)
+COUNTIF($A$1,"2S-Yağcı-Üniversite")*($AD$46)
+COUNTIF($A$1,"2S-Yağcı-MYO")*($AD$47)
+COUNTIF($A$1,"2S-Yağcı-Lise")*($AD$48)
+COUNTIF($A$1,"2S-Yağcı-Ortaokul")*($AD$49)
+COUNTIF($A$1,"2S-Yağcı-İlkokul")*($AD$50)
+COUNTIF($A$1,"2S-Gemici-Üniversite")*($AD$51)
+COUNTIF($A$1,"2S-Gemici-MYO")*($AD$52)
+COUNTIF($A$1,"2S-Gemici-Lise")*($AD$53)
+COUNTIF($A$1,"2S-Gemici-Ortaokul")*($AD$54)
+COUNTIF($A$1,"2S-Gemici-İlkokul")*($AD$55)
+COUNTIF($A$1,"2S-Gemi Salon Sorumlusu-Üniversite")*($AD$56)
+COUNTIF($A$1,"2S-Gemi Salon Sorumlusu-MYO")*($AD$57)
+COUNTIF($A$1,"2S-Gemi Salon Sorumlusu-Lise")*($AD$58)
+COUNTIF($A$1,"2S-Gemi Salon Sorumlusu-Ortaokul")*($AD$59)
+COUNTIF($A$1,"2S-Gemi Salon Sorumlusu-İlkokul")*($AD$60)</f>
        <v>294.25</v>
      </c>
      <c r="AO26" s="33">
        <f t="shared" si="112"/>
        <v>349.29547370045464</v>
      </c>
      <c r="AP26" s="33">
        <f>COUNTIF($A$1,"1S-Kaptan-Üniversite")*($AD$1)
+COUNTIF($A$1,"1S-Kaptan-MYO")*($AD$2)
+COUNTIF($A$1,"1S-Kaptan-Lise")*($AD$3)
+COUNTIF($A$1,"1S-Kaptan-Ortaokul")*($AD$4)
+COUNTIF($A$1,"1S-Kaptan-İlkokul")*($AD$5)
+COUNTIF($A$1,"1S-Baş Makinist-Üniversite")*($AD$6)
+COUNTIF($A$1,"1S-Baş Makinist-MYO")*($AD$7)
+COUNTIF($A$1,"1S-Baş Makinist-Lise")*($AD$8)
+COUNTIF($A$1,"1S-Baş Makinist-Ortaokul")*($AD$9)
+COUNTIF($A$1,"1S-Baş Makinist-İlkokul")*($AD$10)
+COUNTIF($A$1,"1S-İkinci Kaptan-Üniversite")*($AD$11)
+COUNTIF($A$1,"1S-İkinci Kaptan-MYO")*($AD$12)
+COUNTIF($A$1,"1S-İkinci Kaptan-Lise")*($AD$13)
+COUNTIF($A$1,"1S-İkinci Kaptan-Ortaokul")*($AD$14)
+COUNTIF($A$1,"1S-İkinci Kaptan-İlkokul")*($AD$15)
+COUNTIF($A$1,"1S-Usta Gemici-Üniversite")*($AD$16)
+COUNTIF($A$1,"1S-Usta Gemici-MYO")*($AD$17)
+COUNTIF($A$1,"1S-Usta Gemici-Lise")*($AD$18)
+COUNTIF($A$1,"1S-Usta Gemici-Ortaokul")*($AD$19)
+COUNTIF($A$1,"1S-Usta Gemici-İlkokul")*($AD$20)
+COUNTIF($A$1,"1S-Yağcı-Üniversite")*($AD$21)
+COUNTIF($A$1,"1S-Yağcı-MYO")*($AD$22)
+COUNTIF($A$1,"1S-Yağcı-Lise")*($AD$23)
+COUNTIF($A$1,"1S-Yağcı-Ortaokul")*($AD$24)
+COUNTIF($A$1,"1S-Yağcı-İlkokul")*($AD$25)
+COUNTIF($A$1,"2S-Kaptan-Üniversite")*($AD$26)
+COUNTIF($A$1,"2S-Kaptan-MYO")*($AD$27)
+COUNTIF($A$1,"2S-Kaptan-Lise")*($AD$28)
+COUNTIF($A$1,"2S-Kaptan-Ortaokul")*($AD$29)
+COUNTIF($A$1,"2S-Kaptan-İlkokul")*($AD$30)
+COUNTIF($A$1,"2S-Baş Makinist-Üniversite")*($AD$31)
+COUNTIF($A$1,"2S-Baş Makinist-MYO")*($AD$32)
+COUNTIF($A$1,"2S-Baş Makinist-Lise")*($AD$33)
+COUNTIF($A$1,"2S-Baş Makinist-Ortaokul")*($AD$34)
+COUNTIF($A$1,"2S-Baş Makinist-İlkokul")*($AD$35)
+COUNTIF($A$1,"2S-İkinci Kaptan-Üniversite")*($AD$36)
+COUNTIF($A$1,"2S-İkinci Kaptan-MYO")*($AD$37)
+COUNTIF($A$1,"2S-İkinci Kaptan-Lise")*($AD$38)
+COUNTIF($A$1,"2S-İkinci Kaptan-Ortaokul")*($AD$39)
+COUNTIF($A$1,"2S-İkinci Kaptan-İlkokul")*($AD$40)
+COUNTIF($A$1,"2S-Usta Gemici-Üniversite")*($AD$41)
+COUNTIF($A$1,"2S-Usta Gemici-MYO")*($AD$42)
+COUNTIF($A$1,"2S-Usta Gemici-Lise")*($AD$43)
+COUNTIF($A$1,"2S-Usta Gemici-Ortaokul")*($AD$44)
+COUNTIF($A$1,"2S-Usta Gemici-İlkokul")*($AD$45)
+COUNTIF($A$1,"2S-Yağcı-Üniversite")*($AD$46)
+COUNTIF($A$1,"2S-Yağcı-MYO")*($AD$47)
+COUNTIF($A$1,"2S-Yağcı-Lise")*($AD$48)
+COUNTIF($A$1,"2S-Yağcı-Ortaokul")*($AD$49)
+COUNTIF($A$1,"2S-Yağcı-İlkokul")*($AD$50)
+COUNTIF($A$1,"2S-Gemici-Üniversite")*($AD$51)
+COUNTIF($A$1,"2S-Gemici-MYO")*($AD$52)
+COUNTIF($A$1,"2S-Gemici-Lise")*($AD$53)
+COUNTIF($A$1,"2S-Gemici-Ortaokul")*($AD$54)
+COUNTIF($A$1,"2S-Gemici-İlkokul")*($AD$55)
+COUNTIF($A$1,"2S-Gemi Salon Sorumlusu-Üniversite")*($AD$56)
+COUNTIF($A$1,"2S-Gemi Salon Sorumlusu-MYO")*($AD$57)
+COUNTIF($A$1,"2S-Gemi Salon Sorumlusu-Lise")*($AD$58)
+COUNTIF($A$1,"2S-Gemi Salon Sorumlusu-Ortaokul")*($AD$59)
+COUNTIF($A$1,"2S-Gemi Salon Sorumlusu-İlkokul")*($AD$60)</f>
        <v>294.25</v>
      </c>
      <c r="AQ26" s="36" t="s">
        <v>0</v>
      </c>
      <c r="AR26" s="37">
        <f t="shared" si="113"/>
        <v>10828.159684714094</v>
      </c>
      <c r="AS26" s="38">
        <f t="shared" si="114"/>
        <v>9121.75</v>
      </c>
      <c r="AT26" s="50">
        <v>30</v>
      </c>
      <c r="AU26" s="39">
        <f ca="1">(CZ7*K25+AV26)*-1</f>
        <v>0</v>
      </c>
      <c r="AV26" s="39">
        <f ca="1">(AV11+AX11+AZ11-BE11)*(K25*-1)</f>
        <v>0</v>
      </c>
      <c r="AW26" s="39">
        <f ca="1">(AU26+AV26)</f>
        <v>0</v>
      </c>
      <c r="AX26" s="38" t="s">
        <v>0</v>
      </c>
      <c r="AY26" s="38">
        <f>(6471)</f>
        <v>6471</v>
      </c>
      <c r="AZ26" s="38">
        <f>(6471)</f>
        <v>6471</v>
      </c>
      <c r="BA26" s="38">
        <f>(AY26-AZ26)</f>
        <v>0</v>
      </c>
      <c r="BB26" s="38">
        <f>(BA26*0.00759*-1)</f>
        <v>0</v>
      </c>
      <c r="BC26" s="38">
        <f>(0)</f>
        <v>0</v>
      </c>
      <c r="BD26" s="38">
        <f>(AY26-BC26)</f>
        <v>6471</v>
      </c>
      <c r="BE26" s="38">
        <f>(BD26*0.14*-1)</f>
        <v>-905.94</v>
      </c>
      <c r="BF26" s="38">
        <f>(BD26*0.01*-1)</f>
        <v>-64.710000000000008</v>
      </c>
      <c r="BU26" s="38">
        <f t="shared" ca="1" si="88"/>
        <v>-2398.2609226095606</v>
      </c>
      <c r="BV26" s="38">
        <f t="shared" ca="1" si="89"/>
        <v>-171.3043516149686</v>
      </c>
      <c r="BW26" s="52" t="s">
        <v>0</v>
      </c>
      <c r="BX26" s="52" t="s">
        <v>0</v>
      </c>
      <c r="DF26" s="42">
        <v>24</v>
      </c>
      <c r="DG26" s="46">
        <v>12</v>
      </c>
      <c r="DH26" s="47">
        <v>0.26</v>
      </c>
      <c r="DI26" s="55"/>
    </row>
    <row r="27" spans="1:113" ht="39.950000000000003" customHeight="1" x14ac:dyDescent="0.25">
      <c r="A27" s="74" t="s">
        <v>56</v>
      </c>
      <c r="B27" s="75"/>
      <c r="C27" s="4" t="s">
        <v>0</v>
      </c>
      <c r="D27" s="9">
        <f>(D15+D16+D17+D18+D19+D20+D21+D22+D23+D24+D25+D26)</f>
        <v>480</v>
      </c>
      <c r="E27" s="9">
        <f>(E15+E16+E17+E18+E19+E20+E21+E22+E23+E24+E25+E26)</f>
        <v>0</v>
      </c>
      <c r="F27" s="10">
        <f>(F15+F16+F17+F18+F19+F20+F21+F22+F23+F24+F25+F26)</f>
        <v>240</v>
      </c>
      <c r="G27" s="10">
        <f>(G15+G16+G17+G18+G19+G20+G21+G22+G23+G24+G25+G26)</f>
        <v>0</v>
      </c>
      <c r="H27" s="4" t="s">
        <v>0</v>
      </c>
      <c r="I27" s="4" t="s">
        <v>0</v>
      </c>
      <c r="J27" s="4" t="s">
        <v>0</v>
      </c>
      <c r="K27" s="3" t="s">
        <v>0</v>
      </c>
      <c r="L27" s="11">
        <f t="shared" ref="L27" ca="1" si="124">(L15+L16+L17+L18+L19+L20+L21+L22+L23+L24+L25+L26)</f>
        <v>152363.46076942293</v>
      </c>
      <c r="M27" s="11">
        <f t="shared" ref="M27" ca="1" si="125">(M15+M16+M17+M18+M19+M20+M21+M22+M23+M24+M25+M26)</f>
        <v>32612.5</v>
      </c>
      <c r="N27" s="12">
        <f t="shared" ref="N27" ca="1" si="126">(N15+N16+N17+N18+N19+N20+N21+N22+N23+N24+N25+N26)</f>
        <v>184975.96076942293</v>
      </c>
      <c r="O27" s="18" t="s">
        <v>0</v>
      </c>
      <c r="P27" s="19" t="s">
        <v>0</v>
      </c>
      <c r="Q27" s="19" t="s">
        <v>0</v>
      </c>
      <c r="R27" s="72"/>
      <c r="S27" s="71"/>
      <c r="T27" s="21" t="s">
        <v>0</v>
      </c>
      <c r="U27" s="26" t="s">
        <v>0</v>
      </c>
      <c r="V27" s="60"/>
      <c r="W27" s="61"/>
      <c r="X27" s="63"/>
      <c r="Y27" s="62"/>
      <c r="Z27" s="30"/>
      <c r="AA27" s="52" t="s">
        <v>113</v>
      </c>
      <c r="AB27" s="38">
        <v>266</v>
      </c>
      <c r="AC27" s="38">
        <v>266</v>
      </c>
      <c r="AD27" s="33">
        <v>294.25</v>
      </c>
      <c r="AE27" s="36" t="s">
        <v>0</v>
      </c>
      <c r="AF27" s="36" t="s">
        <v>0</v>
      </c>
      <c r="AG27" s="50">
        <f>(AG12+AG13+AG14+AG1+AG2+AG3+AG21+AG22+AG23+AG24+AG25+AG26)</f>
        <v>365</v>
      </c>
      <c r="AH27" s="50">
        <f>(AH12+AH13+AH14+AH1+AH2+AH3+AH21+AH22+AH23+AH24+AH25+AH26)</f>
        <v>313</v>
      </c>
      <c r="AI27" s="50">
        <f>(AI12+AI13+AI14+AI1+AI2+AI3+AI21+AI22+AI23+AI24+AI25+AI26)</f>
        <v>52</v>
      </c>
      <c r="AJ27" s="36" t="s">
        <v>0</v>
      </c>
      <c r="AK27" s="38">
        <f t="shared" ref="AK27:AP27" si="127">(AK12+AK13+AK14+AK1+AK2+AK3+AK21+AK22+AK23+AK24+AK25+AK26)</f>
        <v>3947.009176054416</v>
      </c>
      <c r="AL27" s="38">
        <f t="shared" si="127"/>
        <v>3325</v>
      </c>
      <c r="AM27" s="38">
        <f t="shared" si="127"/>
        <v>3947.009176054416</v>
      </c>
      <c r="AN27" s="38">
        <f t="shared" si="127"/>
        <v>3325</v>
      </c>
      <c r="AO27" s="38">
        <f t="shared" si="127"/>
        <v>3947.009176054416</v>
      </c>
      <c r="AP27" s="38">
        <f t="shared" si="127"/>
        <v>3325</v>
      </c>
      <c r="AQ27" s="36" t="s">
        <v>0</v>
      </c>
      <c r="AR27" s="38">
        <f>(AR12+AR13+AR14+AR1+AR2+AR3+AR21+AR22+AR23+AR24+AR25+AR26)</f>
        <v>120065.0514595031</v>
      </c>
      <c r="AS27" s="38">
        <f>(AS12+AS13+AS14+AS1+AS2+AS3+AS21+AS22+AS23+AS24+AS25+AS26)</f>
        <v>101144</v>
      </c>
      <c r="AT27" s="50">
        <f>(AT15+AT16+AT17+AT18+AT19+AT20+AT21+AT22+AT23+AT24+AT25+AT26)</f>
        <v>360</v>
      </c>
      <c r="AU27" s="39">
        <f ca="1">(CZ8*K26+AV27)*-1</f>
        <v>0</v>
      </c>
      <c r="AV27" s="39">
        <f ca="1">(AV12+AX12+AZ12-BE12)*(K26*-1)</f>
        <v>0</v>
      </c>
      <c r="AW27" s="39">
        <f ca="1">(AU27+AV27)</f>
        <v>0</v>
      </c>
      <c r="AX27" s="38" t="s">
        <v>0</v>
      </c>
      <c r="AY27" s="38">
        <f>(6471)</f>
        <v>6471</v>
      </c>
      <c r="AZ27" s="38">
        <f>(6471)</f>
        <v>6471</v>
      </c>
      <c r="BA27" s="38">
        <f>(AY27-AZ27)</f>
        <v>0</v>
      </c>
      <c r="BB27" s="38">
        <f>(BA27*0.00759*-1)</f>
        <v>0</v>
      </c>
      <c r="BC27" s="38">
        <f>(0)</f>
        <v>0</v>
      </c>
      <c r="BD27" s="38">
        <f>(AY27-BC27)</f>
        <v>6471</v>
      </c>
      <c r="BE27" s="38">
        <f>(BD27*0.14*-1)</f>
        <v>-905.94</v>
      </c>
      <c r="BF27" s="38">
        <f>(BD27*0.01*-1)</f>
        <v>-64.710000000000008</v>
      </c>
      <c r="BW27" s="52" t="s">
        <v>0</v>
      </c>
      <c r="BX27" s="52" t="s">
        <v>0</v>
      </c>
      <c r="DF27" s="42">
        <v>25</v>
      </c>
      <c r="DG27" s="46">
        <v>12.5</v>
      </c>
      <c r="DH27" s="47">
        <v>0.27</v>
      </c>
      <c r="DI27" s="55"/>
    </row>
    <row r="28" spans="1:113" ht="39.950000000000003" customHeight="1" x14ac:dyDescent="0.25">
      <c r="A28" s="74" t="s">
        <v>57</v>
      </c>
      <c r="B28" s="75"/>
      <c r="C28" s="4" t="s">
        <v>0</v>
      </c>
      <c r="D28" s="10" t="s">
        <v>0</v>
      </c>
      <c r="E28" s="4" t="s">
        <v>0</v>
      </c>
      <c r="F28" s="4" t="s">
        <v>0</v>
      </c>
      <c r="G28" s="4" t="s">
        <v>0</v>
      </c>
      <c r="H28" s="4" t="s">
        <v>0</v>
      </c>
      <c r="I28" s="4" t="s">
        <v>0</v>
      </c>
      <c r="J28" s="4" t="s">
        <v>0</v>
      </c>
      <c r="K28" s="4" t="s">
        <v>0</v>
      </c>
      <c r="L28" s="11">
        <f ca="1">(L27/12)</f>
        <v>12696.955064118578</v>
      </c>
      <c r="M28" s="11">
        <f ca="1">(M27/12)</f>
        <v>2717.7083333333335</v>
      </c>
      <c r="N28" s="12">
        <f ca="1">(N27/12)</f>
        <v>15414.663397451912</v>
      </c>
      <c r="O28" s="18" t="s">
        <v>0</v>
      </c>
      <c r="P28" s="19" t="s">
        <v>0</v>
      </c>
      <c r="Q28" s="19" t="s">
        <v>0</v>
      </c>
      <c r="R28" s="72"/>
      <c r="S28" s="71"/>
      <c r="T28" s="21" t="s">
        <v>0</v>
      </c>
      <c r="U28" s="26" t="s">
        <v>0</v>
      </c>
      <c r="V28" s="60"/>
      <c r="W28" s="68"/>
      <c r="X28" s="69"/>
      <c r="Y28" s="70"/>
      <c r="Z28" s="31"/>
      <c r="AA28" s="52" t="s">
        <v>82</v>
      </c>
      <c r="AB28" s="38">
        <v>263.5</v>
      </c>
      <c r="AC28" s="38">
        <v>263.5</v>
      </c>
      <c r="AD28" s="33">
        <v>294.25</v>
      </c>
      <c r="AE28" s="36" t="s">
        <v>0</v>
      </c>
      <c r="AF28" s="36" t="s">
        <v>0</v>
      </c>
      <c r="AG28" s="36" t="s">
        <v>0</v>
      </c>
      <c r="AH28" s="36" t="s">
        <v>0</v>
      </c>
      <c r="AI28" s="36" t="s">
        <v>0</v>
      </c>
      <c r="AJ28" s="36" t="s">
        <v>0</v>
      </c>
      <c r="AK28" s="38">
        <f>(AK27/12)</f>
        <v>328.91743133786798</v>
      </c>
      <c r="AL28" s="38">
        <f t="shared" ref="AL28:AP28" si="128">(AL27/12)</f>
        <v>277.08333333333331</v>
      </c>
      <c r="AM28" s="38">
        <f t="shared" si="128"/>
        <v>328.91743133786798</v>
      </c>
      <c r="AN28" s="38">
        <f t="shared" si="128"/>
        <v>277.08333333333331</v>
      </c>
      <c r="AO28" s="38">
        <f t="shared" si="128"/>
        <v>328.91743133786798</v>
      </c>
      <c r="AP28" s="38">
        <f t="shared" si="128"/>
        <v>277.08333333333331</v>
      </c>
      <c r="AQ28" s="36" t="s">
        <v>0</v>
      </c>
      <c r="AR28" s="38">
        <f t="shared" ref="AR28:AS28" si="129">(AR27/12)</f>
        <v>10005.420954958592</v>
      </c>
      <c r="AS28" s="38">
        <f t="shared" si="129"/>
        <v>8428.6666666666661</v>
      </c>
      <c r="AT28" s="36" t="s">
        <v>0</v>
      </c>
      <c r="AU28" s="38">
        <f ca="1">(BY1+BY2+BY3+BY4+BY5+BG22+BG23+BG24+BG25+AU25+AU26+AU27)</f>
        <v>0</v>
      </c>
      <c r="AV28" s="38">
        <f ca="1">(BZ1+BZ2+BZ3+BZ4+BZ5+BH22+BH23+BH24+BH25+AV25+AV26+AV27)</f>
        <v>0</v>
      </c>
      <c r="AW28" s="38">
        <f ca="1">(CA1+CA2+CA3+CA4+CA5+BI22+BI23+BI24+BI25+AW25+AW26+AW27)</f>
        <v>0</v>
      </c>
      <c r="AX28" s="39" t="s">
        <v>0</v>
      </c>
      <c r="AY28" s="38">
        <f t="shared" ref="AY28:BF28" si="130">(CC1+CC2+CC3+CC4+CC5+BK22+BK23+BK24+BK25+AY25+AY26+AY27)</f>
        <v>68850</v>
      </c>
      <c r="AZ28" s="38">
        <f t="shared" si="130"/>
        <v>68850</v>
      </c>
      <c r="BA28" s="38">
        <f t="shared" si="130"/>
        <v>0</v>
      </c>
      <c r="BB28" s="38">
        <f t="shared" si="130"/>
        <v>0</v>
      </c>
      <c r="BC28" s="38">
        <f t="shared" si="130"/>
        <v>0</v>
      </c>
      <c r="BD28" s="38">
        <f t="shared" si="130"/>
        <v>68850</v>
      </c>
      <c r="BE28" s="38">
        <f t="shared" si="130"/>
        <v>-9639.0000000000036</v>
      </c>
      <c r="BF28" s="38">
        <f t="shared" si="130"/>
        <v>-688.50000000000023</v>
      </c>
      <c r="BW28" s="52" t="s">
        <v>0</v>
      </c>
      <c r="BX28" s="52" t="s">
        <v>0</v>
      </c>
      <c r="DF28" s="42">
        <v>26</v>
      </c>
      <c r="DG28" s="46">
        <v>13</v>
      </c>
      <c r="DH28" s="47">
        <v>0.28000000000000003</v>
      </c>
      <c r="DI28" s="56"/>
    </row>
    <row r="29" spans="1:113" ht="39.950000000000003" hidden="1" customHeight="1" x14ac:dyDescent="0.25">
      <c r="AA29" s="43" t="s">
        <v>114</v>
      </c>
      <c r="AB29" s="38">
        <v>225.15</v>
      </c>
      <c r="AC29" s="38">
        <v>225.15</v>
      </c>
      <c r="AD29" s="33">
        <v>285.37</v>
      </c>
      <c r="AU29" s="38">
        <f t="shared" ref="AU29:AW29" ca="1" si="131">(AU28/12)</f>
        <v>0</v>
      </c>
      <c r="AV29" s="38">
        <f t="shared" ca="1" si="131"/>
        <v>0</v>
      </c>
      <c r="AW29" s="38">
        <f t="shared" ca="1" si="131"/>
        <v>0</v>
      </c>
      <c r="AX29" s="38" t="s">
        <v>0</v>
      </c>
      <c r="AY29" s="38">
        <f t="shared" ref="AY29" si="132">(AY28/12)</f>
        <v>5737.5</v>
      </c>
      <c r="AZ29" s="38">
        <f t="shared" ref="AZ29" si="133">(AZ28/12)</f>
        <v>5737.5</v>
      </c>
      <c r="BA29" s="38">
        <f t="shared" ref="BA29" si="134">(BA28/12)</f>
        <v>0</v>
      </c>
      <c r="BB29" s="38">
        <f t="shared" ref="BB29" si="135">(BB28/12)</f>
        <v>0</v>
      </c>
      <c r="BC29" s="38">
        <f t="shared" ref="BC29" si="136">(BC28/12)</f>
        <v>0</v>
      </c>
      <c r="BD29" s="38">
        <f t="shared" ref="BD29" si="137">(BD28/12)</f>
        <v>5737.5</v>
      </c>
      <c r="BE29" s="38">
        <f t="shared" ref="BE29" si="138">(BE28/12)</f>
        <v>-803.25000000000034</v>
      </c>
      <c r="BF29" s="38">
        <f t="shared" ref="BF29" si="139">(BF28/12)</f>
        <v>-57.375000000000021</v>
      </c>
      <c r="DF29" s="42">
        <v>27</v>
      </c>
      <c r="DG29" s="46">
        <v>13.5</v>
      </c>
      <c r="DH29" s="47">
        <v>0.28999999999999998</v>
      </c>
    </row>
    <row r="30" spans="1:113" ht="39.950000000000003" hidden="1" customHeight="1" x14ac:dyDescent="0.25">
      <c r="AA30" s="43" t="s">
        <v>115</v>
      </c>
      <c r="AB30" s="38">
        <v>207.71</v>
      </c>
      <c r="AC30" s="38">
        <v>207.71</v>
      </c>
      <c r="AD30" s="33">
        <v>282.48</v>
      </c>
      <c r="DF30" s="42">
        <v>28</v>
      </c>
      <c r="DG30" s="46">
        <v>14</v>
      </c>
      <c r="DH30" s="47">
        <v>0.3</v>
      </c>
    </row>
    <row r="31" spans="1:113" ht="39.950000000000003" hidden="1" customHeight="1" x14ac:dyDescent="0.25">
      <c r="AA31" s="43" t="s">
        <v>116</v>
      </c>
      <c r="AB31" s="38">
        <v>268.5</v>
      </c>
      <c r="AC31" s="38">
        <v>268.5</v>
      </c>
      <c r="AD31" s="33">
        <v>294.25</v>
      </c>
      <c r="DF31" s="42">
        <v>29</v>
      </c>
      <c r="DG31" s="46">
        <v>14.5</v>
      </c>
      <c r="DH31" s="47">
        <v>0.31</v>
      </c>
    </row>
    <row r="32" spans="1:113" ht="39.950000000000003" hidden="1" customHeight="1" x14ac:dyDescent="0.25">
      <c r="AA32" s="43" t="s">
        <v>117</v>
      </c>
      <c r="AB32" s="38">
        <v>266</v>
      </c>
      <c r="AC32" s="38">
        <v>266</v>
      </c>
      <c r="AD32" s="33">
        <v>294.25</v>
      </c>
      <c r="DF32" s="42">
        <v>30</v>
      </c>
      <c r="DG32" s="46">
        <v>15</v>
      </c>
      <c r="DH32" s="47">
        <v>0.32</v>
      </c>
    </row>
    <row r="33" spans="27:112" ht="39.950000000000003" hidden="1" customHeight="1" x14ac:dyDescent="0.25">
      <c r="AA33" s="43" t="s">
        <v>83</v>
      </c>
      <c r="AB33" s="38">
        <v>263.5</v>
      </c>
      <c r="AC33" s="38">
        <v>263.5</v>
      </c>
      <c r="AD33" s="33">
        <v>294.25</v>
      </c>
      <c r="DF33" s="42">
        <v>31</v>
      </c>
      <c r="DG33" s="46">
        <v>15.5</v>
      </c>
      <c r="DH33" s="47">
        <v>0.33</v>
      </c>
    </row>
    <row r="34" spans="27:112" ht="39.950000000000003" hidden="1" customHeight="1" x14ac:dyDescent="0.25">
      <c r="AA34" s="43" t="s">
        <v>118</v>
      </c>
      <c r="AB34" s="38">
        <v>225.15</v>
      </c>
      <c r="AC34" s="38">
        <v>225.15</v>
      </c>
      <c r="AD34" s="33">
        <v>285.37</v>
      </c>
      <c r="DF34" s="42">
        <v>32</v>
      </c>
      <c r="DG34" s="46">
        <v>16</v>
      </c>
      <c r="DH34" s="47">
        <v>0.34</v>
      </c>
    </row>
    <row r="35" spans="27:112" ht="39.950000000000003" hidden="1" customHeight="1" x14ac:dyDescent="0.25">
      <c r="AA35" s="43" t="s">
        <v>119</v>
      </c>
      <c r="AB35" s="38">
        <v>207.71</v>
      </c>
      <c r="AC35" s="38">
        <v>207.71</v>
      </c>
      <c r="AD35" s="33">
        <v>282.48</v>
      </c>
      <c r="DF35" s="42">
        <v>33</v>
      </c>
      <c r="DG35" s="46">
        <v>16.5</v>
      </c>
      <c r="DH35" s="47">
        <v>0.35</v>
      </c>
    </row>
    <row r="36" spans="27:112" ht="39.950000000000003" hidden="1" customHeight="1" x14ac:dyDescent="0.25">
      <c r="AA36" s="43" t="s">
        <v>120</v>
      </c>
      <c r="AB36" s="38">
        <v>263</v>
      </c>
      <c r="AC36" s="38">
        <v>263</v>
      </c>
      <c r="AD36" s="38">
        <v>263</v>
      </c>
      <c r="DF36" s="42">
        <v>34</v>
      </c>
      <c r="DG36" s="46">
        <v>17</v>
      </c>
      <c r="DH36" s="47">
        <v>0.36</v>
      </c>
    </row>
    <row r="37" spans="27:112" ht="39.950000000000003" hidden="1" customHeight="1" x14ac:dyDescent="0.25">
      <c r="AA37" s="43" t="s">
        <v>121</v>
      </c>
      <c r="AB37" s="38">
        <v>261</v>
      </c>
      <c r="AC37" s="38">
        <v>261</v>
      </c>
      <c r="AD37" s="38">
        <v>261</v>
      </c>
      <c r="CL37" s="43"/>
      <c r="CM37" s="43"/>
      <c r="DF37" s="42">
        <v>35</v>
      </c>
      <c r="DG37" s="46">
        <v>17.5</v>
      </c>
      <c r="DH37" s="47">
        <v>0.37</v>
      </c>
    </row>
    <row r="38" spans="27:112" ht="39.950000000000003" hidden="1" customHeight="1" x14ac:dyDescent="0.25">
      <c r="AA38" s="43" t="s">
        <v>122</v>
      </c>
      <c r="AB38" s="38">
        <v>250</v>
      </c>
      <c r="AC38" s="38">
        <v>250</v>
      </c>
      <c r="AD38" s="38">
        <v>250</v>
      </c>
      <c r="CL38" s="43"/>
      <c r="CM38" s="43"/>
      <c r="DF38" s="42">
        <v>36</v>
      </c>
      <c r="DG38" s="46">
        <v>18</v>
      </c>
      <c r="DH38" s="47">
        <v>0.38</v>
      </c>
    </row>
    <row r="39" spans="27:112" ht="39.950000000000003" hidden="1" customHeight="1" x14ac:dyDescent="0.25">
      <c r="AA39" s="43" t="s">
        <v>123</v>
      </c>
      <c r="AB39" s="38">
        <v>232.23</v>
      </c>
      <c r="AC39" s="38">
        <v>232.23</v>
      </c>
      <c r="AD39" s="38">
        <v>232.23</v>
      </c>
      <c r="CL39" s="43"/>
      <c r="CM39" s="43"/>
      <c r="DF39" s="42">
        <v>37</v>
      </c>
      <c r="DG39" s="46">
        <v>18.5</v>
      </c>
      <c r="DH39" s="47">
        <v>0.39</v>
      </c>
    </row>
    <row r="40" spans="27:112" ht="39.950000000000003" hidden="1" customHeight="1" x14ac:dyDescent="0.25">
      <c r="AA40" s="43" t="s">
        <v>124</v>
      </c>
      <c r="AB40" s="38">
        <v>214.32</v>
      </c>
      <c r="AC40" s="38">
        <v>214.32</v>
      </c>
      <c r="AD40" s="38">
        <v>214.32</v>
      </c>
      <c r="CL40" s="43"/>
      <c r="CM40" s="43"/>
      <c r="DF40" s="42">
        <v>38</v>
      </c>
      <c r="DG40" s="46">
        <v>19</v>
      </c>
      <c r="DH40" s="47">
        <v>0.4</v>
      </c>
    </row>
    <row r="41" spans="27:112" ht="39.950000000000003" hidden="1" customHeight="1" x14ac:dyDescent="0.25">
      <c r="AA41" s="43" t="s">
        <v>125</v>
      </c>
      <c r="AB41" s="38">
        <v>167.5</v>
      </c>
      <c r="AC41" s="38">
        <v>209.07</v>
      </c>
      <c r="AD41" s="38">
        <v>209.07</v>
      </c>
      <c r="CL41" s="43"/>
      <c r="CM41" s="43"/>
      <c r="DF41" s="42">
        <v>39</v>
      </c>
      <c r="DG41" s="46">
        <v>19.5</v>
      </c>
      <c r="DH41" s="47">
        <v>0.41</v>
      </c>
    </row>
    <row r="42" spans="27:112" ht="39.950000000000003" hidden="1" customHeight="1" x14ac:dyDescent="0.25">
      <c r="AA42" s="43" t="s">
        <v>126</v>
      </c>
      <c r="AB42" s="38">
        <v>167</v>
      </c>
      <c r="AC42" s="38">
        <v>208.57</v>
      </c>
      <c r="AD42" s="38">
        <v>208.57</v>
      </c>
      <c r="CL42" s="43"/>
      <c r="CM42" s="43"/>
      <c r="DF42" s="42">
        <v>40</v>
      </c>
      <c r="DG42" s="46">
        <v>20</v>
      </c>
      <c r="DH42" s="47">
        <v>0.42</v>
      </c>
    </row>
    <row r="43" spans="27:112" ht="39.950000000000003" hidden="1" customHeight="1" x14ac:dyDescent="0.25">
      <c r="AA43" s="43" t="s">
        <v>84</v>
      </c>
      <c r="AB43" s="38">
        <v>166.7</v>
      </c>
      <c r="AC43" s="38">
        <v>208.27</v>
      </c>
      <c r="AD43" s="38">
        <v>208.27</v>
      </c>
      <c r="CL43" s="43"/>
      <c r="CM43" s="43"/>
      <c r="DF43" s="42">
        <v>41</v>
      </c>
      <c r="DG43" s="46">
        <v>20.5</v>
      </c>
      <c r="DH43" s="47">
        <v>0.43</v>
      </c>
    </row>
    <row r="44" spans="27:112" ht="39.950000000000003" hidden="1" customHeight="1" x14ac:dyDescent="0.25">
      <c r="AA44" s="43" t="s">
        <v>127</v>
      </c>
      <c r="AB44" s="38">
        <v>166.7</v>
      </c>
      <c r="AC44" s="38">
        <v>208.27</v>
      </c>
      <c r="AD44" s="38">
        <v>208.27</v>
      </c>
      <c r="CL44" s="43"/>
      <c r="CM44" s="43"/>
      <c r="DF44" s="42">
        <v>42</v>
      </c>
      <c r="DG44" s="46">
        <v>21</v>
      </c>
      <c r="DH44" s="47">
        <v>0.44</v>
      </c>
    </row>
    <row r="45" spans="27:112" ht="39.950000000000003" hidden="1" customHeight="1" x14ac:dyDescent="0.25">
      <c r="AA45" s="43" t="s">
        <v>128</v>
      </c>
      <c r="AB45" s="38">
        <v>166.7</v>
      </c>
      <c r="AC45" s="38">
        <v>208.27</v>
      </c>
      <c r="AD45" s="38">
        <v>208.27</v>
      </c>
      <c r="CL45" s="43"/>
      <c r="CM45" s="43"/>
      <c r="DF45" s="42">
        <v>43</v>
      </c>
      <c r="DG45" s="46">
        <v>21.5</v>
      </c>
      <c r="DH45" s="47">
        <v>0.45</v>
      </c>
    </row>
    <row r="46" spans="27:112" ht="39.950000000000003" hidden="1" customHeight="1" x14ac:dyDescent="0.25">
      <c r="AA46" s="43" t="s">
        <v>129</v>
      </c>
      <c r="AB46" s="38">
        <v>167.5</v>
      </c>
      <c r="AC46" s="38">
        <v>209.07</v>
      </c>
      <c r="AD46" s="38">
        <v>209.07</v>
      </c>
      <c r="CL46" s="43"/>
      <c r="CM46" s="43"/>
      <c r="DF46" s="42">
        <v>44</v>
      </c>
      <c r="DG46" s="46">
        <v>22</v>
      </c>
      <c r="DH46" s="47">
        <v>0.46</v>
      </c>
    </row>
    <row r="47" spans="27:112" ht="39.950000000000003" hidden="1" customHeight="1" x14ac:dyDescent="0.25">
      <c r="AA47" s="43" t="s">
        <v>130</v>
      </c>
      <c r="AB47" s="38">
        <v>167</v>
      </c>
      <c r="AC47" s="38">
        <v>208.57</v>
      </c>
      <c r="AD47" s="38">
        <v>208.57</v>
      </c>
      <c r="CL47" s="43"/>
      <c r="CM47" s="43"/>
      <c r="DF47" s="42">
        <v>45</v>
      </c>
      <c r="DG47" s="46">
        <v>22.5</v>
      </c>
      <c r="DH47" s="47">
        <v>0.47</v>
      </c>
    </row>
    <row r="48" spans="27:112" ht="39.950000000000003" hidden="1" customHeight="1" x14ac:dyDescent="0.25">
      <c r="AA48" s="43" t="s">
        <v>86</v>
      </c>
      <c r="AB48" s="38">
        <v>166.7</v>
      </c>
      <c r="AC48" s="38">
        <v>208.27</v>
      </c>
      <c r="AD48" s="38">
        <v>208.27</v>
      </c>
      <c r="CL48" s="43"/>
      <c r="CM48" s="43"/>
      <c r="DF48" s="42">
        <v>46</v>
      </c>
      <c r="DG48" s="46">
        <v>23</v>
      </c>
      <c r="DH48" s="47">
        <v>0.48</v>
      </c>
    </row>
    <row r="49" spans="27:112" ht="39.950000000000003" hidden="1" customHeight="1" x14ac:dyDescent="0.25">
      <c r="AA49" s="43" t="s">
        <v>131</v>
      </c>
      <c r="AB49" s="38">
        <v>166.7</v>
      </c>
      <c r="AC49" s="38">
        <v>208.27</v>
      </c>
      <c r="AD49" s="38">
        <v>208.27</v>
      </c>
      <c r="CL49" s="43"/>
      <c r="CM49" s="43"/>
      <c r="DF49" s="42">
        <v>47</v>
      </c>
      <c r="DG49" s="46">
        <v>23.5</v>
      </c>
      <c r="DH49" s="47">
        <v>0.49</v>
      </c>
    </row>
    <row r="50" spans="27:112" ht="39.950000000000003" hidden="1" customHeight="1" x14ac:dyDescent="0.25">
      <c r="AA50" s="43" t="s">
        <v>132</v>
      </c>
      <c r="AB50" s="38">
        <v>166.7</v>
      </c>
      <c r="AC50" s="38">
        <v>208.27</v>
      </c>
      <c r="AD50" s="38">
        <v>208.27</v>
      </c>
      <c r="CL50" s="43"/>
      <c r="CM50" s="43"/>
      <c r="DF50" s="42">
        <v>48</v>
      </c>
      <c r="DG50" s="46">
        <v>24</v>
      </c>
      <c r="DH50" s="47">
        <v>0.5</v>
      </c>
    </row>
    <row r="51" spans="27:112" ht="39.950000000000003" hidden="1" customHeight="1" x14ac:dyDescent="0.25">
      <c r="AA51" s="43" t="s">
        <v>133</v>
      </c>
      <c r="AB51" s="38">
        <v>165.5</v>
      </c>
      <c r="AC51" s="38">
        <v>207.07</v>
      </c>
      <c r="AD51" s="38">
        <v>207.07</v>
      </c>
      <c r="CL51" s="43"/>
      <c r="CM51" s="43"/>
      <c r="DF51" s="42">
        <v>49</v>
      </c>
      <c r="DG51" s="46">
        <v>24.5</v>
      </c>
      <c r="DH51" s="53" t="s">
        <v>0</v>
      </c>
    </row>
    <row r="52" spans="27:112" ht="39.950000000000003" hidden="1" customHeight="1" x14ac:dyDescent="0.25">
      <c r="AA52" s="43" t="s">
        <v>134</v>
      </c>
      <c r="AB52" s="38">
        <v>164.5</v>
      </c>
      <c r="AC52" s="38">
        <v>206.07</v>
      </c>
      <c r="AD52" s="38">
        <v>206.07</v>
      </c>
      <c r="CL52" s="43"/>
      <c r="CM52" s="43"/>
      <c r="DF52" s="42">
        <v>50</v>
      </c>
      <c r="DG52" s="46">
        <v>25</v>
      </c>
      <c r="DH52" s="53" t="s">
        <v>0</v>
      </c>
    </row>
    <row r="53" spans="27:112" ht="39.950000000000003" hidden="1" customHeight="1" x14ac:dyDescent="0.25">
      <c r="AA53" s="43" t="s">
        <v>85</v>
      </c>
      <c r="AB53" s="38">
        <v>163.5</v>
      </c>
      <c r="AC53" s="38">
        <v>205.07</v>
      </c>
      <c r="AD53" s="38">
        <v>205.07</v>
      </c>
      <c r="CL53" s="43"/>
      <c r="CM53" s="43"/>
      <c r="DF53" s="42">
        <v>51</v>
      </c>
      <c r="DG53" s="46">
        <v>25.5</v>
      </c>
      <c r="DH53" s="53" t="s">
        <v>0</v>
      </c>
    </row>
    <row r="54" spans="27:112" ht="39.950000000000003" hidden="1" customHeight="1" x14ac:dyDescent="0.25">
      <c r="AA54" s="43" t="s">
        <v>135</v>
      </c>
      <c r="AB54" s="38">
        <v>163.5</v>
      </c>
      <c r="AC54" s="38">
        <v>205.07</v>
      </c>
      <c r="AD54" s="38">
        <v>205.07</v>
      </c>
      <c r="CL54" s="43"/>
      <c r="CM54" s="43"/>
      <c r="DF54" s="42">
        <v>52</v>
      </c>
      <c r="DG54" s="46">
        <v>26</v>
      </c>
      <c r="DH54" s="53" t="s">
        <v>0</v>
      </c>
    </row>
    <row r="55" spans="27:112" ht="39.950000000000003" hidden="1" customHeight="1" x14ac:dyDescent="0.25">
      <c r="AA55" s="43" t="s">
        <v>136</v>
      </c>
      <c r="AB55" s="38">
        <v>163.5</v>
      </c>
      <c r="AC55" s="38">
        <v>205.07</v>
      </c>
      <c r="AD55" s="38">
        <v>205.07</v>
      </c>
      <c r="CL55" s="43"/>
      <c r="CM55" s="43"/>
      <c r="DF55" s="42">
        <v>53</v>
      </c>
      <c r="DG55" s="46">
        <v>26.5</v>
      </c>
      <c r="DH55" s="53" t="s">
        <v>0</v>
      </c>
    </row>
    <row r="56" spans="27:112" ht="39.950000000000003" hidden="1" customHeight="1" x14ac:dyDescent="0.25">
      <c r="AA56" s="43" t="s">
        <v>137</v>
      </c>
      <c r="AB56" s="38">
        <v>166.7</v>
      </c>
      <c r="AC56" s="38">
        <v>208.27</v>
      </c>
      <c r="AD56" s="38">
        <v>208.27</v>
      </c>
      <c r="CL56" s="43"/>
      <c r="CM56" s="43"/>
      <c r="DF56" s="42">
        <v>54</v>
      </c>
      <c r="DG56" s="46">
        <v>27</v>
      </c>
      <c r="DH56" s="53" t="s">
        <v>0</v>
      </c>
    </row>
    <row r="57" spans="27:112" ht="39.950000000000003" hidden="1" customHeight="1" x14ac:dyDescent="0.25">
      <c r="AA57" s="43" t="s">
        <v>138</v>
      </c>
      <c r="AB57" s="38">
        <v>166</v>
      </c>
      <c r="AC57" s="38">
        <v>207.57</v>
      </c>
      <c r="AD57" s="38">
        <v>207.57</v>
      </c>
      <c r="CL57" s="43"/>
      <c r="CM57" s="43"/>
      <c r="DF57" s="42">
        <v>55</v>
      </c>
      <c r="DG57" s="46">
        <v>27.5</v>
      </c>
      <c r="DH57" s="53" t="s">
        <v>0</v>
      </c>
    </row>
    <row r="58" spans="27:112" ht="39.950000000000003" hidden="1" customHeight="1" x14ac:dyDescent="0.25">
      <c r="AA58" s="43" t="s">
        <v>139</v>
      </c>
      <c r="AB58" s="38">
        <v>165</v>
      </c>
      <c r="AC58" s="38">
        <v>206.57</v>
      </c>
      <c r="AD58" s="38">
        <v>206.57</v>
      </c>
      <c r="CL58" s="43"/>
      <c r="CM58" s="43"/>
      <c r="DF58" s="42">
        <v>56</v>
      </c>
      <c r="DG58" s="46">
        <v>28</v>
      </c>
      <c r="DH58" s="53" t="s">
        <v>0</v>
      </c>
    </row>
    <row r="59" spans="27:112" ht="39.950000000000003" hidden="1" customHeight="1" x14ac:dyDescent="0.25">
      <c r="AA59" s="43" t="s">
        <v>140</v>
      </c>
      <c r="AB59" s="38">
        <v>164</v>
      </c>
      <c r="AC59" s="38">
        <v>205.57</v>
      </c>
      <c r="AD59" s="38">
        <v>205.57</v>
      </c>
      <c r="CL59" s="43"/>
      <c r="CM59" s="43"/>
      <c r="DF59" s="42">
        <v>57</v>
      </c>
      <c r="DG59" s="46">
        <v>28.5</v>
      </c>
      <c r="DH59" s="53" t="s">
        <v>0</v>
      </c>
    </row>
    <row r="60" spans="27:112" ht="39.950000000000003" hidden="1" customHeight="1" x14ac:dyDescent="0.25">
      <c r="AA60" s="43" t="s">
        <v>141</v>
      </c>
      <c r="AB60" s="38">
        <v>163</v>
      </c>
      <c r="AC60" s="38">
        <v>204.57</v>
      </c>
      <c r="AD60" s="38">
        <v>204.57</v>
      </c>
      <c r="CL60" s="43"/>
      <c r="CM60" s="43"/>
      <c r="DF60" s="42">
        <v>58</v>
      </c>
      <c r="DG60" s="46">
        <v>29</v>
      </c>
      <c r="DH60" s="53" t="s">
        <v>0</v>
      </c>
    </row>
    <row r="61" spans="27:112" ht="39.950000000000003" hidden="1" customHeight="1" x14ac:dyDescent="0.25">
      <c r="CL61" s="43"/>
      <c r="CM61" s="43"/>
      <c r="DF61" s="42">
        <v>59</v>
      </c>
      <c r="DG61" s="46">
        <v>29.5</v>
      </c>
      <c r="DH61" s="53" t="s">
        <v>0</v>
      </c>
    </row>
    <row r="62" spans="27:112" ht="39.950000000000003" hidden="1" customHeight="1" x14ac:dyDescent="0.25">
      <c r="CL62" s="43"/>
      <c r="CM62" s="43"/>
      <c r="DF62" s="42">
        <v>60</v>
      </c>
      <c r="DG62" s="46">
        <v>30</v>
      </c>
      <c r="DH62" s="53" t="s">
        <v>0</v>
      </c>
    </row>
    <row r="63" spans="27:112" ht="39.950000000000003" hidden="1" customHeight="1" x14ac:dyDescent="0.25">
      <c r="CL63" s="43"/>
      <c r="CM63" s="43"/>
      <c r="DF63" s="42">
        <v>61</v>
      </c>
      <c r="DG63" s="46">
        <v>30.5</v>
      </c>
      <c r="DH63" s="53" t="s">
        <v>0</v>
      </c>
    </row>
    <row r="64" spans="27:112" ht="39.950000000000003" hidden="1" customHeight="1" x14ac:dyDescent="0.25">
      <c r="CL64" s="43"/>
      <c r="CM64" s="43"/>
      <c r="DF64" s="42">
        <v>62</v>
      </c>
      <c r="DG64" s="46">
        <v>31</v>
      </c>
      <c r="DH64" s="53" t="s">
        <v>0</v>
      </c>
    </row>
    <row r="65" spans="90:112" ht="39.950000000000003" hidden="1" customHeight="1" x14ac:dyDescent="0.25">
      <c r="CL65" s="43"/>
      <c r="CM65" s="43"/>
      <c r="DF65" s="42">
        <v>63</v>
      </c>
      <c r="DG65" s="46">
        <v>31.5</v>
      </c>
      <c r="DH65" s="53" t="s">
        <v>0</v>
      </c>
    </row>
    <row r="66" spans="90:112" ht="39.950000000000003" hidden="1" customHeight="1" x14ac:dyDescent="0.25">
      <c r="CL66" s="43"/>
      <c r="CM66" s="43"/>
      <c r="DF66" s="42">
        <v>64</v>
      </c>
      <c r="DG66" s="46">
        <v>32</v>
      </c>
      <c r="DH66" s="53" t="s">
        <v>0</v>
      </c>
    </row>
    <row r="67" spans="90:112" ht="39.950000000000003" hidden="1" customHeight="1" x14ac:dyDescent="0.25">
      <c r="CL67" s="43"/>
      <c r="CM67" s="43"/>
      <c r="DF67" s="42">
        <v>65</v>
      </c>
      <c r="DG67" s="46">
        <v>32.5</v>
      </c>
      <c r="DH67" s="53" t="s">
        <v>0</v>
      </c>
    </row>
    <row r="68" spans="90:112" ht="39.950000000000003" hidden="1" customHeight="1" x14ac:dyDescent="0.25">
      <c r="CL68" s="43"/>
      <c r="CM68" s="43"/>
      <c r="DF68" s="42">
        <v>66</v>
      </c>
      <c r="DG68" s="46">
        <v>33</v>
      </c>
      <c r="DH68" s="53" t="s">
        <v>0</v>
      </c>
    </row>
    <row r="69" spans="90:112" ht="39.950000000000003" hidden="1" customHeight="1" x14ac:dyDescent="0.25">
      <c r="DF69" s="42">
        <v>67</v>
      </c>
      <c r="DG69" s="46">
        <v>33.5</v>
      </c>
      <c r="DH69" s="53" t="s">
        <v>0</v>
      </c>
    </row>
    <row r="70" spans="90:112" ht="39.950000000000003" hidden="1" customHeight="1" x14ac:dyDescent="0.25">
      <c r="DF70" s="42">
        <v>68</v>
      </c>
      <c r="DG70" s="46">
        <v>34</v>
      </c>
      <c r="DH70" s="53" t="s">
        <v>0</v>
      </c>
    </row>
    <row r="71" spans="90:112" ht="39.950000000000003" hidden="1" customHeight="1" x14ac:dyDescent="0.25">
      <c r="DF71" s="42">
        <v>69</v>
      </c>
      <c r="DG71" s="46">
        <v>34.5</v>
      </c>
      <c r="DH71" s="53" t="s">
        <v>0</v>
      </c>
    </row>
    <row r="72" spans="90:112" ht="39.950000000000003" hidden="1" customHeight="1" x14ac:dyDescent="0.25">
      <c r="DF72" s="42">
        <v>70</v>
      </c>
      <c r="DG72" s="46">
        <v>35</v>
      </c>
      <c r="DH72" s="53" t="s">
        <v>0</v>
      </c>
    </row>
    <row r="73" spans="90:112" ht="39.950000000000003" hidden="1" customHeight="1" x14ac:dyDescent="0.25">
      <c r="DF73" s="42">
        <v>71</v>
      </c>
      <c r="DG73" s="46">
        <v>35.5</v>
      </c>
      <c r="DH73" s="53" t="s">
        <v>0</v>
      </c>
    </row>
    <row r="74" spans="90:112" ht="39.950000000000003" hidden="1" customHeight="1" x14ac:dyDescent="0.25">
      <c r="DF74" s="42">
        <v>72</v>
      </c>
      <c r="DG74" s="46">
        <v>36</v>
      </c>
      <c r="DH74" s="53" t="s">
        <v>0</v>
      </c>
    </row>
    <row r="75" spans="90:112" ht="39.950000000000003" hidden="1" customHeight="1" x14ac:dyDescent="0.25">
      <c r="DF75" s="42">
        <v>73</v>
      </c>
      <c r="DG75" s="46">
        <v>36.5</v>
      </c>
      <c r="DH75" s="53" t="s">
        <v>0</v>
      </c>
    </row>
    <row r="76" spans="90:112" ht="39.950000000000003" hidden="1" customHeight="1" x14ac:dyDescent="0.25">
      <c r="DF76" s="42">
        <v>74</v>
      </c>
      <c r="DG76" s="46">
        <v>37</v>
      </c>
      <c r="DH76" s="53" t="s">
        <v>0</v>
      </c>
    </row>
    <row r="77" spans="90:112" ht="39.950000000000003" hidden="1" customHeight="1" x14ac:dyDescent="0.25">
      <c r="DF77" s="42">
        <v>75</v>
      </c>
      <c r="DG77" s="46">
        <v>37.5</v>
      </c>
      <c r="DH77" s="53" t="s">
        <v>0</v>
      </c>
    </row>
    <row r="78" spans="90:112" ht="39.950000000000003" hidden="1" customHeight="1" x14ac:dyDescent="0.25">
      <c r="DF78" s="42">
        <v>76</v>
      </c>
      <c r="DG78" s="46">
        <v>38</v>
      </c>
      <c r="DH78" s="53" t="s">
        <v>0</v>
      </c>
    </row>
    <row r="79" spans="90:112" ht="39.950000000000003" hidden="1" customHeight="1" x14ac:dyDescent="0.25">
      <c r="DF79" s="42">
        <v>77</v>
      </c>
      <c r="DG79" s="46">
        <v>38.5</v>
      </c>
      <c r="DH79" s="53" t="s">
        <v>0</v>
      </c>
    </row>
    <row r="80" spans="90:112" ht="39.950000000000003" hidden="1" customHeight="1" x14ac:dyDescent="0.25">
      <c r="DF80" s="42">
        <v>78</v>
      </c>
      <c r="DG80" s="46">
        <v>39</v>
      </c>
      <c r="DH80" s="53" t="s">
        <v>0</v>
      </c>
    </row>
    <row r="81" spans="110:112" ht="39.950000000000003" hidden="1" customHeight="1" x14ac:dyDescent="0.25">
      <c r="DF81" s="42">
        <v>79</v>
      </c>
      <c r="DG81" s="46">
        <v>39.5</v>
      </c>
      <c r="DH81" s="53" t="s">
        <v>0</v>
      </c>
    </row>
    <row r="82" spans="110:112" ht="39.950000000000003" hidden="1" customHeight="1" x14ac:dyDescent="0.25">
      <c r="DF82" s="42">
        <v>80</v>
      </c>
      <c r="DG82" s="46">
        <v>40</v>
      </c>
      <c r="DH82" s="53" t="s">
        <v>0</v>
      </c>
    </row>
    <row r="83" spans="110:112" ht="39.950000000000003" hidden="1" customHeight="1" x14ac:dyDescent="0.25">
      <c r="DF83" s="42">
        <v>81</v>
      </c>
      <c r="DG83" s="46">
        <v>40.5</v>
      </c>
      <c r="DH83" s="53" t="s">
        <v>0</v>
      </c>
    </row>
    <row r="84" spans="110:112" ht="39.950000000000003" hidden="1" customHeight="1" x14ac:dyDescent="0.25">
      <c r="DF84" s="42">
        <v>82</v>
      </c>
      <c r="DG84" s="46">
        <v>41</v>
      </c>
      <c r="DH84" s="53" t="s">
        <v>0</v>
      </c>
    </row>
    <row r="85" spans="110:112" ht="39.950000000000003" hidden="1" customHeight="1" x14ac:dyDescent="0.25">
      <c r="DF85" s="42">
        <v>83</v>
      </c>
      <c r="DG85" s="46">
        <v>41.5</v>
      </c>
      <c r="DH85" s="53" t="s">
        <v>0</v>
      </c>
    </row>
    <row r="86" spans="110:112" ht="39.950000000000003" hidden="1" customHeight="1" x14ac:dyDescent="0.25">
      <c r="DF86" s="42">
        <v>84</v>
      </c>
      <c r="DG86" s="46">
        <v>42</v>
      </c>
      <c r="DH86" s="53" t="s">
        <v>0</v>
      </c>
    </row>
    <row r="87" spans="110:112" ht="39.950000000000003" hidden="1" customHeight="1" x14ac:dyDescent="0.25">
      <c r="DF87" s="42">
        <v>85</v>
      </c>
      <c r="DG87" s="46">
        <v>42.5</v>
      </c>
      <c r="DH87" s="53" t="s">
        <v>0</v>
      </c>
    </row>
    <row r="88" spans="110:112" ht="39.950000000000003" hidden="1" customHeight="1" x14ac:dyDescent="0.25">
      <c r="DF88" s="42">
        <v>86</v>
      </c>
      <c r="DG88" s="46">
        <v>43</v>
      </c>
      <c r="DH88" s="53" t="s">
        <v>0</v>
      </c>
    </row>
    <row r="89" spans="110:112" ht="39.950000000000003" hidden="1" customHeight="1" x14ac:dyDescent="0.25">
      <c r="DF89" s="42">
        <v>87</v>
      </c>
      <c r="DG89" s="46">
        <v>43.5</v>
      </c>
      <c r="DH89" s="53" t="s">
        <v>0</v>
      </c>
    </row>
    <row r="90" spans="110:112" ht="39.950000000000003" hidden="1" customHeight="1" x14ac:dyDescent="0.25">
      <c r="DF90" s="42">
        <v>88</v>
      </c>
      <c r="DG90" s="46">
        <v>44</v>
      </c>
      <c r="DH90" s="53" t="s">
        <v>0</v>
      </c>
    </row>
    <row r="91" spans="110:112" ht="39.950000000000003" hidden="1" customHeight="1" x14ac:dyDescent="0.25">
      <c r="DF91" s="42">
        <v>89</v>
      </c>
      <c r="DG91" s="46">
        <v>44.5</v>
      </c>
      <c r="DH91" s="53" t="s">
        <v>0</v>
      </c>
    </row>
    <row r="92" spans="110:112" ht="39.950000000000003" hidden="1" customHeight="1" x14ac:dyDescent="0.25">
      <c r="DF92" s="42">
        <v>90</v>
      </c>
      <c r="DG92" s="46">
        <v>45</v>
      </c>
      <c r="DH92" s="53" t="s">
        <v>0</v>
      </c>
    </row>
    <row r="93" spans="110:112" ht="39.950000000000003" hidden="1" customHeight="1" x14ac:dyDescent="0.25">
      <c r="DF93" s="42">
        <v>91</v>
      </c>
      <c r="DG93" s="46">
        <v>45.5</v>
      </c>
      <c r="DH93" s="53" t="s">
        <v>0</v>
      </c>
    </row>
    <row r="94" spans="110:112" ht="39.950000000000003" hidden="1" customHeight="1" x14ac:dyDescent="0.25">
      <c r="DF94" s="42">
        <v>92</v>
      </c>
      <c r="DG94" s="46">
        <v>46</v>
      </c>
      <c r="DH94" s="53" t="s">
        <v>0</v>
      </c>
    </row>
    <row r="95" spans="110:112" ht="39.950000000000003" hidden="1" customHeight="1" x14ac:dyDescent="0.25">
      <c r="DF95" s="42">
        <v>93</v>
      </c>
      <c r="DG95" s="46">
        <v>46.5</v>
      </c>
      <c r="DH95" s="53" t="s">
        <v>0</v>
      </c>
    </row>
    <row r="96" spans="110:112" ht="39.950000000000003" hidden="1" customHeight="1" x14ac:dyDescent="0.25">
      <c r="DF96" s="42">
        <v>94</v>
      </c>
      <c r="DG96" s="46">
        <v>47</v>
      </c>
      <c r="DH96" s="53" t="s">
        <v>0</v>
      </c>
    </row>
    <row r="97" spans="110:112" ht="39.950000000000003" hidden="1" customHeight="1" x14ac:dyDescent="0.25">
      <c r="DF97" s="42">
        <v>95</v>
      </c>
      <c r="DG97" s="46">
        <v>47.5</v>
      </c>
      <c r="DH97" s="53" t="s">
        <v>0</v>
      </c>
    </row>
    <row r="98" spans="110:112" ht="39.950000000000003" hidden="1" customHeight="1" x14ac:dyDescent="0.25">
      <c r="DF98" s="42">
        <v>96</v>
      </c>
      <c r="DG98" s="46">
        <v>48</v>
      </c>
      <c r="DH98" s="53" t="s">
        <v>0</v>
      </c>
    </row>
    <row r="99" spans="110:112" ht="39.950000000000003" hidden="1" customHeight="1" x14ac:dyDescent="0.25">
      <c r="DF99" s="42">
        <v>97</v>
      </c>
      <c r="DG99" s="46">
        <v>48.5</v>
      </c>
      <c r="DH99" s="53" t="s">
        <v>0</v>
      </c>
    </row>
    <row r="100" spans="110:112" ht="39.950000000000003" hidden="1" customHeight="1" x14ac:dyDescent="0.25">
      <c r="DF100" s="42">
        <v>98</v>
      </c>
      <c r="DG100" s="46">
        <v>49</v>
      </c>
      <c r="DH100" s="53" t="s">
        <v>0</v>
      </c>
    </row>
    <row r="101" spans="110:112" ht="39.950000000000003" hidden="1" customHeight="1" x14ac:dyDescent="0.25">
      <c r="DF101" s="42">
        <v>99</v>
      </c>
      <c r="DG101" s="46">
        <v>49.5</v>
      </c>
      <c r="DH101" s="53" t="s">
        <v>0</v>
      </c>
    </row>
    <row r="102" spans="110:112" ht="39.950000000000003" hidden="1" customHeight="1" x14ac:dyDescent="0.25">
      <c r="DF102" s="42">
        <v>100</v>
      </c>
      <c r="DG102" s="46">
        <v>50</v>
      </c>
      <c r="DH102" s="53" t="s">
        <v>0</v>
      </c>
    </row>
    <row r="103" spans="110:112" ht="39.950000000000003" hidden="1" customHeight="1" x14ac:dyDescent="0.25">
      <c r="DF103" s="42">
        <v>101</v>
      </c>
      <c r="DG103" s="46">
        <v>50.5</v>
      </c>
      <c r="DH103" s="53" t="s">
        <v>0</v>
      </c>
    </row>
    <row r="104" spans="110:112" ht="39.950000000000003" hidden="1" customHeight="1" x14ac:dyDescent="0.25">
      <c r="DF104" s="42">
        <v>102</v>
      </c>
      <c r="DG104" s="46">
        <v>51</v>
      </c>
      <c r="DH104" s="53" t="s">
        <v>0</v>
      </c>
    </row>
    <row r="105" spans="110:112" ht="39.950000000000003" hidden="1" customHeight="1" x14ac:dyDescent="0.25">
      <c r="DF105" s="42">
        <v>103</v>
      </c>
      <c r="DG105" s="46">
        <v>51.5</v>
      </c>
      <c r="DH105" s="53" t="s">
        <v>0</v>
      </c>
    </row>
    <row r="106" spans="110:112" ht="39.950000000000003" hidden="1" customHeight="1" x14ac:dyDescent="0.25">
      <c r="DF106" s="42">
        <v>104</v>
      </c>
      <c r="DG106" s="46">
        <v>52</v>
      </c>
      <c r="DH106" s="53" t="s">
        <v>0</v>
      </c>
    </row>
    <row r="107" spans="110:112" ht="39.950000000000003" hidden="1" customHeight="1" x14ac:dyDescent="0.25">
      <c r="DF107" s="42">
        <v>105</v>
      </c>
      <c r="DG107" s="46">
        <v>52.5</v>
      </c>
      <c r="DH107" s="53" t="s">
        <v>0</v>
      </c>
    </row>
    <row r="108" spans="110:112" ht="39.950000000000003" hidden="1" customHeight="1" x14ac:dyDescent="0.25">
      <c r="DF108" s="42">
        <v>106</v>
      </c>
      <c r="DG108" s="46">
        <v>53</v>
      </c>
      <c r="DH108" s="53" t="s">
        <v>0</v>
      </c>
    </row>
    <row r="109" spans="110:112" ht="39.950000000000003" hidden="1" customHeight="1" x14ac:dyDescent="0.25">
      <c r="DF109" s="42">
        <v>107</v>
      </c>
      <c r="DG109" s="46">
        <v>53.5</v>
      </c>
      <c r="DH109" s="53" t="s">
        <v>0</v>
      </c>
    </row>
    <row r="110" spans="110:112" ht="39.950000000000003" hidden="1" customHeight="1" x14ac:dyDescent="0.25">
      <c r="DF110" s="42">
        <v>108</v>
      </c>
      <c r="DG110" s="46">
        <v>54</v>
      </c>
      <c r="DH110" s="53" t="s">
        <v>0</v>
      </c>
    </row>
    <row r="111" spans="110:112" ht="39.950000000000003" hidden="1" customHeight="1" x14ac:dyDescent="0.25">
      <c r="DF111" s="42">
        <v>109</v>
      </c>
      <c r="DG111" s="46">
        <v>54.5</v>
      </c>
      <c r="DH111" s="53" t="s">
        <v>0</v>
      </c>
    </row>
    <row r="112" spans="110:112" ht="39.950000000000003" hidden="1" customHeight="1" x14ac:dyDescent="0.25">
      <c r="DF112" s="42">
        <v>110</v>
      </c>
      <c r="DG112" s="46">
        <v>55</v>
      </c>
      <c r="DH112" s="53" t="s">
        <v>0</v>
      </c>
    </row>
    <row r="113" spans="110:112" ht="39.950000000000003" hidden="1" customHeight="1" x14ac:dyDescent="0.25">
      <c r="DF113" s="42">
        <v>111</v>
      </c>
      <c r="DG113" s="46">
        <v>55.5</v>
      </c>
      <c r="DH113" s="53" t="s">
        <v>0</v>
      </c>
    </row>
    <row r="114" spans="110:112" ht="39.950000000000003" hidden="1" customHeight="1" x14ac:dyDescent="0.25">
      <c r="DF114" s="42">
        <v>112</v>
      </c>
      <c r="DG114" s="46">
        <v>56</v>
      </c>
      <c r="DH114" s="53" t="s">
        <v>0</v>
      </c>
    </row>
    <row r="115" spans="110:112" ht="39.950000000000003" hidden="1" customHeight="1" x14ac:dyDescent="0.25">
      <c r="DF115" s="42">
        <v>113</v>
      </c>
      <c r="DG115" s="46">
        <v>56.5</v>
      </c>
      <c r="DH115" s="53" t="s">
        <v>0</v>
      </c>
    </row>
    <row r="116" spans="110:112" ht="39.950000000000003" hidden="1" customHeight="1" x14ac:dyDescent="0.25">
      <c r="DF116" s="42">
        <v>114</v>
      </c>
      <c r="DG116" s="46">
        <v>57</v>
      </c>
      <c r="DH116" s="53" t="s">
        <v>0</v>
      </c>
    </row>
    <row r="117" spans="110:112" ht="39.950000000000003" hidden="1" customHeight="1" x14ac:dyDescent="0.25">
      <c r="DF117" s="42">
        <v>115</v>
      </c>
      <c r="DG117" s="46">
        <v>57.5</v>
      </c>
      <c r="DH117" s="53" t="s">
        <v>0</v>
      </c>
    </row>
    <row r="118" spans="110:112" ht="39.950000000000003" hidden="1" customHeight="1" x14ac:dyDescent="0.25">
      <c r="DF118" s="42">
        <v>116</v>
      </c>
      <c r="DG118" s="46">
        <v>58</v>
      </c>
      <c r="DH118" s="53" t="s">
        <v>0</v>
      </c>
    </row>
    <row r="119" spans="110:112" ht="39.950000000000003" hidden="1" customHeight="1" x14ac:dyDescent="0.25">
      <c r="DF119" s="42">
        <v>117</v>
      </c>
      <c r="DG119" s="46">
        <v>58.5</v>
      </c>
      <c r="DH119" s="53" t="s">
        <v>0</v>
      </c>
    </row>
    <row r="120" spans="110:112" ht="39.950000000000003" hidden="1" customHeight="1" x14ac:dyDescent="0.25">
      <c r="DF120" s="42">
        <v>118</v>
      </c>
      <c r="DG120" s="46">
        <v>59</v>
      </c>
      <c r="DH120" s="53" t="s">
        <v>0</v>
      </c>
    </row>
    <row r="121" spans="110:112" ht="39.950000000000003" hidden="1" customHeight="1" x14ac:dyDescent="0.25">
      <c r="DF121" s="42">
        <v>119</v>
      </c>
      <c r="DG121" s="46">
        <v>59.5</v>
      </c>
      <c r="DH121" s="53" t="s">
        <v>0</v>
      </c>
    </row>
    <row r="122" spans="110:112" ht="39.950000000000003" hidden="1" customHeight="1" x14ac:dyDescent="0.25">
      <c r="DF122" s="42">
        <v>120</v>
      </c>
      <c r="DG122" s="46">
        <v>60</v>
      </c>
      <c r="DH122" s="53" t="s">
        <v>0</v>
      </c>
    </row>
    <row r="123" spans="110:112" ht="39.950000000000003" hidden="1" customHeight="1" x14ac:dyDescent="0.25">
      <c r="DF123" s="42">
        <v>121</v>
      </c>
      <c r="DG123" s="46">
        <v>60.5</v>
      </c>
      <c r="DH123" s="53" t="s">
        <v>0</v>
      </c>
    </row>
    <row r="124" spans="110:112" ht="39.950000000000003" hidden="1" customHeight="1" x14ac:dyDescent="0.25">
      <c r="DF124" s="42">
        <v>122</v>
      </c>
      <c r="DG124" s="46">
        <v>61</v>
      </c>
      <c r="DH124" s="53" t="s">
        <v>0</v>
      </c>
    </row>
    <row r="125" spans="110:112" ht="39.950000000000003" hidden="1" customHeight="1" x14ac:dyDescent="0.25">
      <c r="DF125" s="42">
        <v>123</v>
      </c>
      <c r="DG125" s="46">
        <v>61.5</v>
      </c>
      <c r="DH125" s="53" t="s">
        <v>0</v>
      </c>
    </row>
    <row r="126" spans="110:112" ht="39.950000000000003" hidden="1" customHeight="1" x14ac:dyDescent="0.25">
      <c r="DF126" s="42">
        <v>124</v>
      </c>
      <c r="DG126" s="46">
        <v>62</v>
      </c>
      <c r="DH126" s="53" t="s">
        <v>0</v>
      </c>
    </row>
    <row r="127" spans="110:112" ht="39.950000000000003" hidden="1" customHeight="1" x14ac:dyDescent="0.25">
      <c r="DF127" s="42">
        <v>125</v>
      </c>
      <c r="DG127" s="46">
        <v>62.5</v>
      </c>
      <c r="DH127" s="53" t="s">
        <v>0</v>
      </c>
    </row>
    <row r="128" spans="110:112" ht="39.950000000000003" hidden="1" customHeight="1" x14ac:dyDescent="0.25">
      <c r="DF128" s="42">
        <v>126</v>
      </c>
      <c r="DG128" s="46">
        <v>63</v>
      </c>
      <c r="DH128" s="53" t="s">
        <v>0</v>
      </c>
    </row>
    <row r="129" spans="110:112" ht="39.950000000000003" hidden="1" customHeight="1" x14ac:dyDescent="0.25">
      <c r="DF129" s="42">
        <v>127</v>
      </c>
      <c r="DG129" s="46">
        <v>63.5</v>
      </c>
      <c r="DH129" s="53" t="s">
        <v>0</v>
      </c>
    </row>
    <row r="130" spans="110:112" ht="39.950000000000003" hidden="1" customHeight="1" x14ac:dyDescent="0.25">
      <c r="DF130" s="42">
        <v>128</v>
      </c>
      <c r="DG130" s="46">
        <v>64</v>
      </c>
      <c r="DH130" s="53" t="s">
        <v>0</v>
      </c>
    </row>
    <row r="131" spans="110:112" ht="39.950000000000003" hidden="1" customHeight="1" x14ac:dyDescent="0.25">
      <c r="DF131" s="42">
        <v>129</v>
      </c>
      <c r="DG131" s="46">
        <v>64.5</v>
      </c>
      <c r="DH131" s="53" t="s">
        <v>0</v>
      </c>
    </row>
    <row r="132" spans="110:112" ht="39.950000000000003" hidden="1" customHeight="1" x14ac:dyDescent="0.25">
      <c r="DF132" s="42">
        <v>130</v>
      </c>
      <c r="DG132" s="46">
        <v>65</v>
      </c>
      <c r="DH132" s="53" t="s">
        <v>0</v>
      </c>
    </row>
    <row r="133" spans="110:112" ht="39.950000000000003" hidden="1" customHeight="1" x14ac:dyDescent="0.25">
      <c r="DF133" s="42">
        <v>131</v>
      </c>
      <c r="DG133" s="46">
        <v>65.5</v>
      </c>
      <c r="DH133" s="53" t="s">
        <v>0</v>
      </c>
    </row>
    <row r="134" spans="110:112" ht="39.950000000000003" hidden="1" customHeight="1" x14ac:dyDescent="0.25">
      <c r="DF134" s="42">
        <v>132</v>
      </c>
      <c r="DG134" s="46">
        <v>66</v>
      </c>
      <c r="DH134" s="53" t="s">
        <v>0</v>
      </c>
    </row>
    <row r="135" spans="110:112" ht="39.950000000000003" hidden="1" customHeight="1" x14ac:dyDescent="0.25">
      <c r="DF135" s="42">
        <v>133</v>
      </c>
      <c r="DG135" s="46">
        <v>66.5</v>
      </c>
      <c r="DH135" s="53" t="s">
        <v>0</v>
      </c>
    </row>
    <row r="136" spans="110:112" ht="39.950000000000003" hidden="1" customHeight="1" x14ac:dyDescent="0.25">
      <c r="DF136" s="42">
        <v>134</v>
      </c>
      <c r="DG136" s="46">
        <v>67</v>
      </c>
      <c r="DH136" s="53" t="s">
        <v>0</v>
      </c>
    </row>
    <row r="137" spans="110:112" ht="39.950000000000003" hidden="1" customHeight="1" x14ac:dyDescent="0.25">
      <c r="DF137" s="42">
        <v>135</v>
      </c>
      <c r="DG137" s="46">
        <v>67.5</v>
      </c>
      <c r="DH137" s="53" t="s">
        <v>0</v>
      </c>
    </row>
    <row r="138" spans="110:112" ht="39.950000000000003" hidden="1" customHeight="1" x14ac:dyDescent="0.25">
      <c r="DF138" s="42">
        <v>136</v>
      </c>
      <c r="DG138" s="46">
        <v>68</v>
      </c>
      <c r="DH138" s="53" t="s">
        <v>0</v>
      </c>
    </row>
    <row r="139" spans="110:112" ht="39.950000000000003" hidden="1" customHeight="1" x14ac:dyDescent="0.25">
      <c r="DF139" s="42">
        <v>137</v>
      </c>
      <c r="DG139" s="46">
        <v>68.5</v>
      </c>
      <c r="DH139" s="53" t="s">
        <v>0</v>
      </c>
    </row>
    <row r="140" spans="110:112" ht="39.950000000000003" hidden="1" customHeight="1" x14ac:dyDescent="0.25">
      <c r="DF140" s="42">
        <v>138</v>
      </c>
      <c r="DG140" s="46">
        <v>69</v>
      </c>
      <c r="DH140" s="53" t="s">
        <v>0</v>
      </c>
    </row>
    <row r="141" spans="110:112" ht="39.950000000000003" hidden="1" customHeight="1" x14ac:dyDescent="0.25">
      <c r="DF141" s="42">
        <v>139</v>
      </c>
      <c r="DG141" s="46">
        <v>69.5</v>
      </c>
      <c r="DH141" s="53" t="s">
        <v>0</v>
      </c>
    </row>
    <row r="142" spans="110:112" ht="39.950000000000003" hidden="1" customHeight="1" x14ac:dyDescent="0.25">
      <c r="DF142" s="42">
        <v>140</v>
      </c>
      <c r="DG142" s="46">
        <v>70</v>
      </c>
      <c r="DH142" s="53" t="s">
        <v>0</v>
      </c>
    </row>
    <row r="143" spans="110:112" ht="39.950000000000003" hidden="1" customHeight="1" x14ac:dyDescent="0.25">
      <c r="DF143" s="42">
        <v>141</v>
      </c>
      <c r="DG143" s="46">
        <v>70.5</v>
      </c>
      <c r="DH143" s="53" t="s">
        <v>0</v>
      </c>
    </row>
    <row r="144" spans="110:112" ht="39.950000000000003" hidden="1" customHeight="1" x14ac:dyDescent="0.25">
      <c r="DF144" s="42">
        <v>142</v>
      </c>
      <c r="DG144" s="46">
        <v>71</v>
      </c>
      <c r="DH144" s="53" t="s">
        <v>0</v>
      </c>
    </row>
    <row r="145" spans="110:112" ht="39.950000000000003" hidden="1" customHeight="1" x14ac:dyDescent="0.25">
      <c r="DF145" s="42">
        <v>143</v>
      </c>
      <c r="DG145" s="46">
        <v>71.5</v>
      </c>
      <c r="DH145" s="53" t="s">
        <v>0</v>
      </c>
    </row>
    <row r="146" spans="110:112" ht="39.950000000000003" hidden="1" customHeight="1" x14ac:dyDescent="0.25">
      <c r="DF146" s="42">
        <v>144</v>
      </c>
      <c r="DG146" s="46">
        <v>72</v>
      </c>
      <c r="DH146" s="53" t="s">
        <v>0</v>
      </c>
    </row>
    <row r="147" spans="110:112" ht="39.950000000000003" hidden="1" customHeight="1" x14ac:dyDescent="0.25">
      <c r="DF147" s="42">
        <v>145</v>
      </c>
      <c r="DG147" s="46">
        <v>72.5</v>
      </c>
      <c r="DH147" s="53" t="s">
        <v>0</v>
      </c>
    </row>
    <row r="148" spans="110:112" ht="39.950000000000003" hidden="1" customHeight="1" x14ac:dyDescent="0.25">
      <c r="DF148" s="42">
        <v>146</v>
      </c>
      <c r="DG148" s="46">
        <v>73</v>
      </c>
      <c r="DH148" s="53" t="s">
        <v>0</v>
      </c>
    </row>
    <row r="149" spans="110:112" ht="39.950000000000003" hidden="1" customHeight="1" x14ac:dyDescent="0.25">
      <c r="DF149" s="42">
        <v>147</v>
      </c>
      <c r="DG149" s="46">
        <v>73.5</v>
      </c>
      <c r="DH149" s="53" t="s">
        <v>0</v>
      </c>
    </row>
    <row r="150" spans="110:112" ht="39.950000000000003" hidden="1" customHeight="1" x14ac:dyDescent="0.25">
      <c r="DF150" s="42">
        <v>148</v>
      </c>
      <c r="DG150" s="46">
        <v>74</v>
      </c>
      <c r="DH150" s="53" t="s">
        <v>0</v>
      </c>
    </row>
    <row r="151" spans="110:112" ht="39.950000000000003" hidden="1" customHeight="1" x14ac:dyDescent="0.25">
      <c r="DF151" s="42">
        <v>149</v>
      </c>
      <c r="DG151" s="46">
        <v>74.5</v>
      </c>
      <c r="DH151" s="53" t="s">
        <v>0</v>
      </c>
    </row>
    <row r="152" spans="110:112" ht="39.950000000000003" hidden="1" customHeight="1" x14ac:dyDescent="0.25">
      <c r="DF152" s="42">
        <v>150</v>
      </c>
      <c r="DG152" s="46">
        <v>75</v>
      </c>
      <c r="DH152" s="53" t="s">
        <v>0</v>
      </c>
    </row>
    <row r="153" spans="110:112" ht="39.950000000000003" hidden="1" customHeight="1" x14ac:dyDescent="0.25">
      <c r="DF153" s="42">
        <v>151</v>
      </c>
      <c r="DG153" s="46">
        <v>75.5</v>
      </c>
      <c r="DH153" s="53" t="s">
        <v>0</v>
      </c>
    </row>
    <row r="154" spans="110:112" ht="39.950000000000003" hidden="1" customHeight="1" x14ac:dyDescent="0.25">
      <c r="DF154" s="42">
        <v>152</v>
      </c>
      <c r="DG154" s="46">
        <v>76</v>
      </c>
      <c r="DH154" s="53" t="s">
        <v>0</v>
      </c>
    </row>
    <row r="155" spans="110:112" ht="39.950000000000003" hidden="1" customHeight="1" x14ac:dyDescent="0.25">
      <c r="DF155" s="42">
        <v>153</v>
      </c>
      <c r="DG155" s="46">
        <v>76.5</v>
      </c>
      <c r="DH155" s="53" t="s">
        <v>0</v>
      </c>
    </row>
    <row r="156" spans="110:112" ht="39.950000000000003" hidden="1" customHeight="1" x14ac:dyDescent="0.25">
      <c r="DF156" s="42">
        <v>154</v>
      </c>
      <c r="DG156" s="46">
        <v>77</v>
      </c>
      <c r="DH156" s="53" t="s">
        <v>0</v>
      </c>
    </row>
    <row r="157" spans="110:112" ht="39.950000000000003" hidden="1" customHeight="1" x14ac:dyDescent="0.25">
      <c r="DF157" s="42">
        <v>155</v>
      </c>
      <c r="DG157" s="46">
        <v>77.5</v>
      </c>
      <c r="DH157" s="53" t="s">
        <v>0</v>
      </c>
    </row>
    <row r="158" spans="110:112" ht="39.950000000000003" hidden="1" customHeight="1" x14ac:dyDescent="0.25">
      <c r="DF158" s="42">
        <v>156</v>
      </c>
      <c r="DG158" s="46">
        <v>78</v>
      </c>
      <c r="DH158" s="53" t="s">
        <v>0</v>
      </c>
    </row>
    <row r="159" spans="110:112" ht="39.950000000000003" hidden="1" customHeight="1" x14ac:dyDescent="0.25">
      <c r="DF159" s="42">
        <v>157</v>
      </c>
      <c r="DG159" s="46">
        <v>78.5</v>
      </c>
      <c r="DH159" s="53" t="s">
        <v>0</v>
      </c>
    </row>
    <row r="160" spans="110:112" ht="39.950000000000003" hidden="1" customHeight="1" x14ac:dyDescent="0.25">
      <c r="DF160" s="42">
        <v>158</v>
      </c>
      <c r="DG160" s="46">
        <v>79</v>
      </c>
      <c r="DH160" s="53" t="s">
        <v>0</v>
      </c>
    </row>
    <row r="161" spans="110:112" ht="39.950000000000003" hidden="1" customHeight="1" x14ac:dyDescent="0.25">
      <c r="DF161" s="42">
        <v>159</v>
      </c>
      <c r="DG161" s="46">
        <v>79.5</v>
      </c>
      <c r="DH161" s="53" t="s">
        <v>0</v>
      </c>
    </row>
    <row r="162" spans="110:112" ht="39.950000000000003" hidden="1" customHeight="1" x14ac:dyDescent="0.25">
      <c r="DF162" s="42">
        <v>160</v>
      </c>
      <c r="DG162" s="46">
        <v>80</v>
      </c>
      <c r="DH162" s="53" t="s">
        <v>0</v>
      </c>
    </row>
    <row r="163" spans="110:112" ht="39.950000000000003" hidden="1" customHeight="1" x14ac:dyDescent="0.25">
      <c r="DF163" s="42">
        <v>161</v>
      </c>
      <c r="DG163" s="46">
        <v>80.5</v>
      </c>
      <c r="DH163" s="53" t="s">
        <v>0</v>
      </c>
    </row>
    <row r="164" spans="110:112" ht="39.950000000000003" hidden="1" customHeight="1" x14ac:dyDescent="0.25">
      <c r="DF164" s="42">
        <v>162</v>
      </c>
      <c r="DG164" s="46">
        <v>81</v>
      </c>
      <c r="DH164" s="53" t="s">
        <v>0</v>
      </c>
    </row>
    <row r="165" spans="110:112" ht="39.950000000000003" hidden="1" customHeight="1" x14ac:dyDescent="0.25">
      <c r="DF165" s="42">
        <v>163</v>
      </c>
      <c r="DG165" s="46">
        <v>81.5</v>
      </c>
      <c r="DH165" s="53" t="s">
        <v>0</v>
      </c>
    </row>
    <row r="166" spans="110:112" ht="39.950000000000003" hidden="1" customHeight="1" x14ac:dyDescent="0.25">
      <c r="DF166" s="42">
        <v>164</v>
      </c>
      <c r="DG166" s="46">
        <v>82</v>
      </c>
      <c r="DH166" s="53" t="s">
        <v>0</v>
      </c>
    </row>
    <row r="167" spans="110:112" ht="39.950000000000003" hidden="1" customHeight="1" x14ac:dyDescent="0.25">
      <c r="DF167" s="42">
        <v>165</v>
      </c>
      <c r="DG167" s="46">
        <v>82.5</v>
      </c>
      <c r="DH167" s="53" t="s">
        <v>0</v>
      </c>
    </row>
    <row r="168" spans="110:112" ht="39.950000000000003" hidden="1" customHeight="1" x14ac:dyDescent="0.25">
      <c r="DF168" s="42">
        <v>166</v>
      </c>
      <c r="DG168" s="46">
        <v>83</v>
      </c>
      <c r="DH168" s="53" t="s">
        <v>0</v>
      </c>
    </row>
    <row r="169" spans="110:112" ht="39.950000000000003" hidden="1" customHeight="1" x14ac:dyDescent="0.25">
      <c r="DF169" s="42">
        <v>167</v>
      </c>
      <c r="DG169" s="46">
        <v>83.5</v>
      </c>
      <c r="DH169" s="53" t="s">
        <v>0</v>
      </c>
    </row>
    <row r="170" spans="110:112" ht="39.950000000000003" hidden="1" customHeight="1" x14ac:dyDescent="0.25">
      <c r="DF170" s="42">
        <v>168</v>
      </c>
      <c r="DG170" s="46">
        <v>84</v>
      </c>
      <c r="DH170" s="53" t="s">
        <v>0</v>
      </c>
    </row>
    <row r="171" spans="110:112" ht="39.950000000000003" hidden="1" customHeight="1" x14ac:dyDescent="0.25">
      <c r="DF171" s="42">
        <v>169</v>
      </c>
      <c r="DG171" s="46">
        <v>84.5</v>
      </c>
      <c r="DH171" s="53" t="s">
        <v>0</v>
      </c>
    </row>
    <row r="172" spans="110:112" ht="39.950000000000003" hidden="1" customHeight="1" x14ac:dyDescent="0.25">
      <c r="DF172" s="42">
        <v>170</v>
      </c>
      <c r="DG172" s="46">
        <v>85</v>
      </c>
      <c r="DH172" s="53" t="s">
        <v>0</v>
      </c>
    </row>
    <row r="173" spans="110:112" ht="39.950000000000003" hidden="1" customHeight="1" x14ac:dyDescent="0.25">
      <c r="DF173" s="42">
        <v>171</v>
      </c>
      <c r="DG173" s="46">
        <v>85.5</v>
      </c>
      <c r="DH173" s="53" t="s">
        <v>0</v>
      </c>
    </row>
    <row r="174" spans="110:112" ht="39.950000000000003" hidden="1" customHeight="1" x14ac:dyDescent="0.25">
      <c r="DF174" s="42">
        <v>172</v>
      </c>
      <c r="DG174" s="46">
        <v>86</v>
      </c>
      <c r="DH174" s="53" t="s">
        <v>0</v>
      </c>
    </row>
    <row r="175" spans="110:112" ht="39.950000000000003" hidden="1" customHeight="1" x14ac:dyDescent="0.25">
      <c r="DF175" s="42">
        <v>173</v>
      </c>
      <c r="DG175" s="46">
        <v>86.5</v>
      </c>
      <c r="DH175" s="53" t="s">
        <v>0</v>
      </c>
    </row>
    <row r="176" spans="110:112" ht="39.950000000000003" hidden="1" customHeight="1" x14ac:dyDescent="0.25">
      <c r="DF176" s="42">
        <v>174</v>
      </c>
      <c r="DG176" s="46">
        <v>87</v>
      </c>
      <c r="DH176" s="53" t="s">
        <v>0</v>
      </c>
    </row>
    <row r="177" spans="110:112" ht="39.950000000000003" hidden="1" customHeight="1" x14ac:dyDescent="0.25">
      <c r="DF177" s="42">
        <v>175</v>
      </c>
      <c r="DG177" s="46">
        <v>87.5</v>
      </c>
      <c r="DH177" s="53" t="s">
        <v>0</v>
      </c>
    </row>
    <row r="178" spans="110:112" ht="39.950000000000003" hidden="1" customHeight="1" x14ac:dyDescent="0.25">
      <c r="DF178" s="42">
        <v>176</v>
      </c>
      <c r="DG178" s="46">
        <v>88</v>
      </c>
      <c r="DH178" s="53" t="s">
        <v>0</v>
      </c>
    </row>
    <row r="179" spans="110:112" ht="39.950000000000003" hidden="1" customHeight="1" x14ac:dyDescent="0.25">
      <c r="DF179" s="42">
        <v>177</v>
      </c>
      <c r="DG179" s="46">
        <v>88.5</v>
      </c>
      <c r="DH179" s="53" t="s">
        <v>0</v>
      </c>
    </row>
    <row r="180" spans="110:112" ht="39.950000000000003" hidden="1" customHeight="1" x14ac:dyDescent="0.25">
      <c r="DF180" s="42">
        <v>178</v>
      </c>
      <c r="DG180" s="46">
        <v>89</v>
      </c>
      <c r="DH180" s="53" t="s">
        <v>0</v>
      </c>
    </row>
    <row r="181" spans="110:112" ht="39.950000000000003" hidden="1" customHeight="1" x14ac:dyDescent="0.25">
      <c r="DF181" s="42">
        <v>179</v>
      </c>
      <c r="DG181" s="46">
        <v>89.5</v>
      </c>
      <c r="DH181" s="53" t="s">
        <v>0</v>
      </c>
    </row>
    <row r="182" spans="110:112" ht="39.950000000000003" hidden="1" customHeight="1" x14ac:dyDescent="0.25">
      <c r="DF182" s="42">
        <v>180</v>
      </c>
      <c r="DG182" s="46">
        <v>90</v>
      </c>
      <c r="DH182" s="53" t="s">
        <v>0</v>
      </c>
    </row>
    <row r="183" spans="110:112" ht="39.950000000000003" hidden="1" customHeight="1" x14ac:dyDescent="0.25">
      <c r="DF183" s="42">
        <v>181</v>
      </c>
      <c r="DG183" s="46">
        <v>90.5</v>
      </c>
      <c r="DH183" s="53" t="s">
        <v>0</v>
      </c>
    </row>
    <row r="184" spans="110:112" ht="39.950000000000003" hidden="1" customHeight="1" x14ac:dyDescent="0.25">
      <c r="DF184" s="42">
        <v>182</v>
      </c>
      <c r="DG184" s="46">
        <v>91</v>
      </c>
      <c r="DH184" s="53" t="s">
        <v>0</v>
      </c>
    </row>
    <row r="185" spans="110:112" ht="39.950000000000003" hidden="1" customHeight="1" x14ac:dyDescent="0.25">
      <c r="DF185" s="42">
        <v>183</v>
      </c>
      <c r="DG185" s="46">
        <v>91.5</v>
      </c>
      <c r="DH185" s="53" t="s">
        <v>0</v>
      </c>
    </row>
    <row r="186" spans="110:112" ht="39.950000000000003" hidden="1" customHeight="1" x14ac:dyDescent="0.25">
      <c r="DF186" s="42">
        <v>184</v>
      </c>
      <c r="DG186" s="46">
        <v>92</v>
      </c>
      <c r="DH186" s="53" t="s">
        <v>0</v>
      </c>
    </row>
    <row r="187" spans="110:112" ht="39.950000000000003" hidden="1" customHeight="1" x14ac:dyDescent="0.25">
      <c r="DF187" s="42">
        <v>185</v>
      </c>
      <c r="DG187" s="46">
        <v>92.5</v>
      </c>
      <c r="DH187" s="53" t="s">
        <v>0</v>
      </c>
    </row>
    <row r="188" spans="110:112" ht="39.950000000000003" hidden="1" customHeight="1" x14ac:dyDescent="0.25">
      <c r="DF188" s="42">
        <v>186</v>
      </c>
      <c r="DG188" s="46">
        <v>93</v>
      </c>
      <c r="DH188" s="53" t="s">
        <v>0</v>
      </c>
    </row>
    <row r="189" spans="110:112" ht="39.950000000000003" hidden="1" customHeight="1" x14ac:dyDescent="0.25">
      <c r="DF189" s="42">
        <v>187</v>
      </c>
      <c r="DG189" s="46">
        <v>93.5</v>
      </c>
      <c r="DH189" s="53" t="s">
        <v>0</v>
      </c>
    </row>
    <row r="190" spans="110:112" ht="39.950000000000003" hidden="1" customHeight="1" x14ac:dyDescent="0.25">
      <c r="DF190" s="42">
        <v>188</v>
      </c>
      <c r="DG190" s="46">
        <v>94</v>
      </c>
      <c r="DH190" s="53" t="s">
        <v>0</v>
      </c>
    </row>
    <row r="191" spans="110:112" ht="39.950000000000003" hidden="1" customHeight="1" x14ac:dyDescent="0.25">
      <c r="DF191" s="42">
        <v>189</v>
      </c>
      <c r="DG191" s="46">
        <v>94.5</v>
      </c>
      <c r="DH191" s="53" t="s">
        <v>0</v>
      </c>
    </row>
    <row r="192" spans="110:112" ht="39.950000000000003" hidden="1" customHeight="1" x14ac:dyDescent="0.25">
      <c r="DF192" s="42">
        <v>190</v>
      </c>
      <c r="DG192" s="46">
        <v>95</v>
      </c>
      <c r="DH192" s="53" t="s">
        <v>0</v>
      </c>
    </row>
    <row r="193" spans="110:112" ht="39.950000000000003" hidden="1" customHeight="1" x14ac:dyDescent="0.25">
      <c r="DF193" s="42">
        <v>191</v>
      </c>
      <c r="DG193" s="46">
        <v>95.5</v>
      </c>
      <c r="DH193" s="53" t="s">
        <v>0</v>
      </c>
    </row>
    <row r="194" spans="110:112" ht="39.950000000000003" hidden="1" customHeight="1" x14ac:dyDescent="0.25">
      <c r="DF194" s="42">
        <v>192</v>
      </c>
      <c r="DG194" s="46">
        <v>96</v>
      </c>
      <c r="DH194" s="53" t="s">
        <v>0</v>
      </c>
    </row>
    <row r="195" spans="110:112" ht="39.950000000000003" hidden="1" customHeight="1" x14ac:dyDescent="0.25">
      <c r="DF195" s="42">
        <v>193</v>
      </c>
      <c r="DG195" s="46">
        <v>96.5</v>
      </c>
      <c r="DH195" s="53" t="s">
        <v>0</v>
      </c>
    </row>
    <row r="196" spans="110:112" ht="39.950000000000003" hidden="1" customHeight="1" x14ac:dyDescent="0.25">
      <c r="DF196" s="42">
        <v>194</v>
      </c>
      <c r="DG196" s="46">
        <v>97</v>
      </c>
      <c r="DH196" s="53" t="s">
        <v>0</v>
      </c>
    </row>
    <row r="197" spans="110:112" ht="39.950000000000003" hidden="1" customHeight="1" x14ac:dyDescent="0.25">
      <c r="DF197" s="42">
        <v>195</v>
      </c>
      <c r="DG197" s="46">
        <v>97.5</v>
      </c>
      <c r="DH197" s="53" t="s">
        <v>0</v>
      </c>
    </row>
    <row r="198" spans="110:112" ht="39.950000000000003" hidden="1" customHeight="1" x14ac:dyDescent="0.25">
      <c r="DF198" s="42">
        <v>196</v>
      </c>
      <c r="DG198" s="46">
        <v>98</v>
      </c>
      <c r="DH198" s="53" t="s">
        <v>0</v>
      </c>
    </row>
    <row r="199" spans="110:112" ht="39.950000000000003" hidden="1" customHeight="1" x14ac:dyDescent="0.25">
      <c r="DF199" s="42">
        <v>197</v>
      </c>
      <c r="DG199" s="46">
        <v>98.5</v>
      </c>
      <c r="DH199" s="53" t="s">
        <v>0</v>
      </c>
    </row>
    <row r="200" spans="110:112" ht="39.950000000000003" hidden="1" customHeight="1" x14ac:dyDescent="0.25">
      <c r="DF200" s="42">
        <v>198</v>
      </c>
      <c r="DG200" s="46">
        <v>99</v>
      </c>
      <c r="DH200" s="53" t="s">
        <v>0</v>
      </c>
    </row>
    <row r="201" spans="110:112" ht="39.950000000000003" hidden="1" customHeight="1" x14ac:dyDescent="0.25">
      <c r="DF201" s="42">
        <v>199</v>
      </c>
      <c r="DG201" s="46">
        <v>99.5</v>
      </c>
      <c r="DH201" s="53" t="s">
        <v>0</v>
      </c>
    </row>
    <row r="202" spans="110:112" ht="39.950000000000003" hidden="1" customHeight="1" x14ac:dyDescent="0.25">
      <c r="DF202" s="42">
        <v>200</v>
      </c>
      <c r="DG202" s="46">
        <v>100</v>
      </c>
      <c r="DH202" s="53" t="s">
        <v>0</v>
      </c>
    </row>
    <row r="203" spans="110:112" ht="39.950000000000003" hidden="1" customHeight="1" x14ac:dyDescent="0.25">
      <c r="DF203" s="42">
        <v>201</v>
      </c>
      <c r="DG203" s="46">
        <v>100.5</v>
      </c>
      <c r="DH203" s="53" t="s">
        <v>0</v>
      </c>
    </row>
    <row r="204" spans="110:112" ht="39.950000000000003" hidden="1" customHeight="1" x14ac:dyDescent="0.25">
      <c r="DF204" s="42">
        <v>202</v>
      </c>
      <c r="DG204" s="46">
        <v>101</v>
      </c>
      <c r="DH204" s="53" t="s">
        <v>0</v>
      </c>
    </row>
    <row r="205" spans="110:112" ht="39.950000000000003" hidden="1" customHeight="1" x14ac:dyDescent="0.25">
      <c r="DF205" s="42">
        <v>203</v>
      </c>
      <c r="DG205" s="46">
        <v>101.5</v>
      </c>
      <c r="DH205" s="53" t="s">
        <v>0</v>
      </c>
    </row>
    <row r="206" spans="110:112" ht="39.950000000000003" hidden="1" customHeight="1" x14ac:dyDescent="0.25">
      <c r="DF206" s="42">
        <v>204</v>
      </c>
      <c r="DG206" s="46">
        <v>102</v>
      </c>
      <c r="DH206" s="53" t="s">
        <v>0</v>
      </c>
    </row>
    <row r="207" spans="110:112" ht="39.950000000000003" hidden="1" customHeight="1" x14ac:dyDescent="0.25">
      <c r="DF207" s="42">
        <v>205</v>
      </c>
      <c r="DG207" s="46">
        <v>102.5</v>
      </c>
      <c r="DH207" s="53" t="s">
        <v>0</v>
      </c>
    </row>
    <row r="208" spans="110:112" ht="39.950000000000003" hidden="1" customHeight="1" x14ac:dyDescent="0.25">
      <c r="DF208" s="42">
        <v>206</v>
      </c>
      <c r="DG208" s="46">
        <v>103</v>
      </c>
      <c r="DH208" s="53" t="s">
        <v>0</v>
      </c>
    </row>
    <row r="209" spans="110:112" ht="39.950000000000003" hidden="1" customHeight="1" x14ac:dyDescent="0.25">
      <c r="DF209" s="42">
        <v>207</v>
      </c>
      <c r="DG209" s="46">
        <v>103.5</v>
      </c>
      <c r="DH209" s="53" t="s">
        <v>0</v>
      </c>
    </row>
    <row r="210" spans="110:112" ht="39.950000000000003" hidden="1" customHeight="1" x14ac:dyDescent="0.25">
      <c r="DF210" s="42">
        <v>208</v>
      </c>
      <c r="DG210" s="46">
        <v>104</v>
      </c>
      <c r="DH210" s="53" t="s">
        <v>0</v>
      </c>
    </row>
    <row r="211" spans="110:112" ht="39.950000000000003" hidden="1" customHeight="1" x14ac:dyDescent="0.25">
      <c r="DF211" s="42">
        <v>209</v>
      </c>
      <c r="DG211" s="46">
        <v>104.5</v>
      </c>
      <c r="DH211" s="53" t="s">
        <v>0</v>
      </c>
    </row>
    <row r="212" spans="110:112" ht="39.950000000000003" hidden="1" customHeight="1" x14ac:dyDescent="0.25">
      <c r="DF212" s="42">
        <v>210</v>
      </c>
      <c r="DG212" s="46">
        <v>105</v>
      </c>
      <c r="DH212" s="53" t="s">
        <v>0</v>
      </c>
    </row>
    <row r="213" spans="110:112" ht="39.950000000000003" hidden="1" customHeight="1" x14ac:dyDescent="0.25">
      <c r="DF213" s="42">
        <v>211</v>
      </c>
      <c r="DG213" s="46">
        <v>105.5</v>
      </c>
      <c r="DH213" s="53" t="s">
        <v>0</v>
      </c>
    </row>
    <row r="214" spans="110:112" ht="39.950000000000003" hidden="1" customHeight="1" x14ac:dyDescent="0.25">
      <c r="DF214" s="42">
        <v>212</v>
      </c>
      <c r="DG214" s="46">
        <v>106</v>
      </c>
      <c r="DH214" s="53" t="s">
        <v>0</v>
      </c>
    </row>
    <row r="215" spans="110:112" ht="39.950000000000003" hidden="1" customHeight="1" x14ac:dyDescent="0.25">
      <c r="DF215" s="42">
        <v>213</v>
      </c>
      <c r="DG215" s="46">
        <v>106.5</v>
      </c>
      <c r="DH215" s="53" t="s">
        <v>0</v>
      </c>
    </row>
    <row r="216" spans="110:112" ht="39.950000000000003" hidden="1" customHeight="1" x14ac:dyDescent="0.25">
      <c r="DF216" s="42">
        <v>214</v>
      </c>
      <c r="DG216" s="46">
        <v>107</v>
      </c>
      <c r="DH216" s="53" t="s">
        <v>0</v>
      </c>
    </row>
    <row r="217" spans="110:112" ht="39.950000000000003" hidden="1" customHeight="1" x14ac:dyDescent="0.25">
      <c r="DF217" s="42">
        <v>215</v>
      </c>
      <c r="DG217" s="46">
        <v>107.5</v>
      </c>
      <c r="DH217" s="53" t="s">
        <v>0</v>
      </c>
    </row>
    <row r="218" spans="110:112" ht="39.950000000000003" hidden="1" customHeight="1" x14ac:dyDescent="0.25">
      <c r="DF218" s="42">
        <v>216</v>
      </c>
      <c r="DG218" s="46">
        <v>108</v>
      </c>
      <c r="DH218" s="53" t="s">
        <v>0</v>
      </c>
    </row>
    <row r="219" spans="110:112" ht="39.950000000000003" hidden="1" customHeight="1" x14ac:dyDescent="0.25">
      <c r="DF219" s="42">
        <v>217</v>
      </c>
      <c r="DG219" s="46">
        <v>108.5</v>
      </c>
      <c r="DH219" s="53" t="s">
        <v>0</v>
      </c>
    </row>
    <row r="220" spans="110:112" ht="39.950000000000003" hidden="1" customHeight="1" x14ac:dyDescent="0.25">
      <c r="DF220" s="42">
        <v>218</v>
      </c>
      <c r="DG220" s="46">
        <v>109</v>
      </c>
      <c r="DH220" s="53" t="s">
        <v>0</v>
      </c>
    </row>
    <row r="221" spans="110:112" ht="39.950000000000003" hidden="1" customHeight="1" x14ac:dyDescent="0.25">
      <c r="DF221" s="42">
        <v>219</v>
      </c>
      <c r="DG221" s="46">
        <v>109.5</v>
      </c>
      <c r="DH221" s="53" t="s">
        <v>0</v>
      </c>
    </row>
    <row r="222" spans="110:112" ht="39.950000000000003" hidden="1" customHeight="1" x14ac:dyDescent="0.25">
      <c r="DF222" s="42">
        <v>220</v>
      </c>
      <c r="DG222" s="46">
        <v>110</v>
      </c>
      <c r="DH222" s="53" t="s">
        <v>0</v>
      </c>
    </row>
    <row r="223" spans="110:112" ht="39.950000000000003" hidden="1" customHeight="1" x14ac:dyDescent="0.25">
      <c r="DF223" s="42">
        <v>221</v>
      </c>
      <c r="DG223" s="46">
        <v>110.5</v>
      </c>
      <c r="DH223" s="53" t="s">
        <v>0</v>
      </c>
    </row>
    <row r="224" spans="110:112" ht="39.950000000000003" hidden="1" customHeight="1" x14ac:dyDescent="0.25">
      <c r="DF224" s="42">
        <v>222</v>
      </c>
      <c r="DG224" s="46">
        <v>111</v>
      </c>
      <c r="DH224" s="53" t="s">
        <v>0</v>
      </c>
    </row>
    <row r="225" spans="110:112" ht="39.950000000000003" hidden="1" customHeight="1" x14ac:dyDescent="0.25">
      <c r="DF225" s="42">
        <v>223</v>
      </c>
      <c r="DG225" s="46">
        <v>111.5</v>
      </c>
      <c r="DH225" s="53" t="s">
        <v>0</v>
      </c>
    </row>
    <row r="226" spans="110:112" ht="39.950000000000003" hidden="1" customHeight="1" x14ac:dyDescent="0.25">
      <c r="DF226" s="42">
        <v>224</v>
      </c>
      <c r="DG226" s="46">
        <v>112</v>
      </c>
      <c r="DH226" s="53" t="s">
        <v>0</v>
      </c>
    </row>
    <row r="227" spans="110:112" ht="39.950000000000003" hidden="1" customHeight="1" x14ac:dyDescent="0.25">
      <c r="DF227" s="42">
        <v>225</v>
      </c>
      <c r="DG227" s="46">
        <v>112.5</v>
      </c>
      <c r="DH227" s="53" t="s">
        <v>0</v>
      </c>
    </row>
    <row r="228" spans="110:112" ht="39.950000000000003" hidden="1" customHeight="1" x14ac:dyDescent="0.25">
      <c r="DF228" s="42">
        <v>226</v>
      </c>
      <c r="DG228" s="46">
        <v>113</v>
      </c>
      <c r="DH228" s="53" t="s">
        <v>0</v>
      </c>
    </row>
    <row r="229" spans="110:112" ht="39.950000000000003" hidden="1" customHeight="1" x14ac:dyDescent="0.25">
      <c r="DF229" s="42">
        <v>227</v>
      </c>
      <c r="DG229" s="46">
        <v>113.5</v>
      </c>
      <c r="DH229" s="53" t="s">
        <v>0</v>
      </c>
    </row>
    <row r="230" spans="110:112" ht="39.950000000000003" hidden="1" customHeight="1" x14ac:dyDescent="0.25">
      <c r="DF230" s="42">
        <v>228</v>
      </c>
      <c r="DG230" s="46">
        <v>114</v>
      </c>
      <c r="DH230" s="53" t="s">
        <v>0</v>
      </c>
    </row>
    <row r="231" spans="110:112" ht="39.950000000000003" hidden="1" customHeight="1" x14ac:dyDescent="0.25">
      <c r="DF231" s="42">
        <v>229</v>
      </c>
      <c r="DG231" s="46">
        <v>114.5</v>
      </c>
      <c r="DH231" s="53" t="s">
        <v>0</v>
      </c>
    </row>
    <row r="232" spans="110:112" ht="39.950000000000003" hidden="1" customHeight="1" x14ac:dyDescent="0.25">
      <c r="DF232" s="42">
        <v>230</v>
      </c>
      <c r="DG232" s="46">
        <v>115</v>
      </c>
      <c r="DH232" s="53" t="s">
        <v>0</v>
      </c>
    </row>
    <row r="233" spans="110:112" ht="39.950000000000003" hidden="1" customHeight="1" x14ac:dyDescent="0.25">
      <c r="DF233" s="42">
        <v>231</v>
      </c>
      <c r="DG233" s="46">
        <v>115.5</v>
      </c>
      <c r="DH233" s="53" t="s">
        <v>0</v>
      </c>
    </row>
    <row r="234" spans="110:112" ht="39.950000000000003" hidden="1" customHeight="1" x14ac:dyDescent="0.25">
      <c r="DF234" s="42">
        <v>232</v>
      </c>
      <c r="DG234" s="46">
        <v>116</v>
      </c>
      <c r="DH234" s="53" t="s">
        <v>0</v>
      </c>
    </row>
    <row r="235" spans="110:112" ht="39.950000000000003" hidden="1" customHeight="1" x14ac:dyDescent="0.25">
      <c r="DF235" s="42">
        <v>233</v>
      </c>
      <c r="DG235" s="46">
        <v>116.5</v>
      </c>
      <c r="DH235" s="53" t="s">
        <v>0</v>
      </c>
    </row>
    <row r="236" spans="110:112" ht="39.950000000000003" hidden="1" customHeight="1" x14ac:dyDescent="0.25">
      <c r="DF236" s="42">
        <v>234</v>
      </c>
      <c r="DG236" s="46">
        <v>117</v>
      </c>
      <c r="DH236" s="53" t="s">
        <v>0</v>
      </c>
    </row>
    <row r="237" spans="110:112" ht="39.950000000000003" hidden="1" customHeight="1" x14ac:dyDescent="0.25">
      <c r="DF237" s="42">
        <v>235</v>
      </c>
      <c r="DG237" s="46">
        <v>117.5</v>
      </c>
      <c r="DH237" s="53" t="s">
        <v>0</v>
      </c>
    </row>
    <row r="238" spans="110:112" ht="39.950000000000003" hidden="1" customHeight="1" x14ac:dyDescent="0.25">
      <c r="DF238" s="42">
        <v>236</v>
      </c>
      <c r="DG238" s="46">
        <v>118</v>
      </c>
      <c r="DH238" s="53" t="s">
        <v>0</v>
      </c>
    </row>
    <row r="239" spans="110:112" ht="39.950000000000003" hidden="1" customHeight="1" x14ac:dyDescent="0.25">
      <c r="DF239" s="42">
        <v>237</v>
      </c>
      <c r="DG239" s="46">
        <v>118.5</v>
      </c>
      <c r="DH239" s="53" t="s">
        <v>0</v>
      </c>
    </row>
    <row r="240" spans="110:112" ht="39.950000000000003" hidden="1" customHeight="1" x14ac:dyDescent="0.25">
      <c r="DF240" s="42">
        <v>238</v>
      </c>
      <c r="DG240" s="46">
        <v>119</v>
      </c>
      <c r="DH240" s="53" t="s">
        <v>0</v>
      </c>
    </row>
    <row r="241" spans="1:112" ht="39.950000000000003" hidden="1" customHeight="1" x14ac:dyDescent="0.25">
      <c r="DF241" s="42">
        <v>239</v>
      </c>
      <c r="DG241" s="46">
        <v>119.5</v>
      </c>
      <c r="DH241" s="53" t="s">
        <v>0</v>
      </c>
    </row>
    <row r="242" spans="1:112" ht="39.950000000000003" hidden="1" customHeight="1" x14ac:dyDescent="0.25">
      <c r="DF242" s="42">
        <v>240</v>
      </c>
      <c r="DG242" s="46">
        <v>120</v>
      </c>
      <c r="DH242" s="53" t="s">
        <v>0</v>
      </c>
    </row>
    <row r="243" spans="1:112" ht="39.950000000000003" hidden="1" customHeight="1" x14ac:dyDescent="0.25">
      <c r="DF243" s="42">
        <v>241</v>
      </c>
      <c r="DG243" s="46">
        <v>120.5</v>
      </c>
      <c r="DH243" s="53" t="s">
        <v>0</v>
      </c>
    </row>
    <row r="244" spans="1:112" ht="39.950000000000003" hidden="1" customHeight="1" x14ac:dyDescent="0.25">
      <c r="DF244" s="42">
        <v>242</v>
      </c>
      <c r="DG244" s="46">
        <v>121</v>
      </c>
      <c r="DH244" s="53" t="s">
        <v>0</v>
      </c>
    </row>
    <row r="245" spans="1:112" ht="39.950000000000003" hidden="1" customHeight="1" x14ac:dyDescent="0.25">
      <c r="DF245" s="42">
        <v>243</v>
      </c>
      <c r="DG245" s="46">
        <v>121.5</v>
      </c>
      <c r="DH245" s="53" t="s">
        <v>0</v>
      </c>
    </row>
    <row r="246" spans="1:112" ht="39.950000000000003" hidden="1" customHeight="1" x14ac:dyDescent="0.25">
      <c r="DF246" s="42">
        <v>244</v>
      </c>
      <c r="DG246" s="46">
        <v>122</v>
      </c>
      <c r="DH246" s="53" t="s">
        <v>0</v>
      </c>
    </row>
    <row r="247" spans="1:112" ht="39.950000000000003" hidden="1" customHeight="1" x14ac:dyDescent="0.25">
      <c r="DF247" s="42">
        <v>245</v>
      </c>
      <c r="DG247" s="46">
        <v>122.5</v>
      </c>
      <c r="DH247" s="53" t="s">
        <v>0</v>
      </c>
    </row>
    <row r="248" spans="1:112" ht="39.950000000000003" hidden="1" customHeight="1" x14ac:dyDescent="0.25">
      <c r="DF248" s="42">
        <v>246</v>
      </c>
      <c r="DG248" s="46">
        <v>123</v>
      </c>
      <c r="DH248" s="53" t="s">
        <v>0</v>
      </c>
    </row>
    <row r="249" spans="1:112" ht="39.950000000000003" hidden="1" customHeight="1" x14ac:dyDescent="0.25">
      <c r="DF249" s="42">
        <v>247</v>
      </c>
      <c r="DG249" s="46">
        <v>123.5</v>
      </c>
      <c r="DH249" s="53" t="s">
        <v>0</v>
      </c>
    </row>
    <row r="250" spans="1:112" ht="39.950000000000003" hidden="1" customHeight="1" x14ac:dyDescent="0.25">
      <c r="DF250" s="42">
        <v>248</v>
      </c>
      <c r="DG250" s="46">
        <v>124</v>
      </c>
      <c r="DH250" s="53" t="s">
        <v>0</v>
      </c>
    </row>
    <row r="251" spans="1:112" ht="39.950000000000003" hidden="1" customHeight="1" x14ac:dyDescent="0.25">
      <c r="DF251" s="42">
        <v>249</v>
      </c>
      <c r="DG251" s="46">
        <v>124.5</v>
      </c>
      <c r="DH251" s="53" t="s">
        <v>0</v>
      </c>
    </row>
    <row r="252" spans="1:112" ht="39.950000000000003" hidden="1" customHeight="1" x14ac:dyDescent="0.25">
      <c r="DF252" s="42">
        <v>250</v>
      </c>
      <c r="DG252" s="46">
        <v>125</v>
      </c>
      <c r="DH252" s="53" t="s">
        <v>0</v>
      </c>
    </row>
    <row r="253" spans="1:112" ht="39.950000000000003" hidden="1" customHeight="1" x14ac:dyDescent="0.25">
      <c r="DF253" s="42">
        <v>251</v>
      </c>
      <c r="DG253" s="46">
        <v>125.5</v>
      </c>
      <c r="DH253" s="53" t="s">
        <v>0</v>
      </c>
    </row>
    <row r="254" spans="1:112" s="13" customFormat="1" ht="39.950000000000003" hidden="1" customHeight="1" x14ac:dyDescent="0.25">
      <c r="A254" s="2"/>
      <c r="B254" s="2"/>
      <c r="C254" s="2"/>
      <c r="D254" s="2"/>
      <c r="E254" s="2"/>
      <c r="F254" s="2"/>
      <c r="G254" s="2"/>
      <c r="H254" s="2"/>
      <c r="I254" s="2"/>
      <c r="J254" s="2"/>
      <c r="K254" s="2"/>
      <c r="L254" s="2"/>
      <c r="M254" s="2"/>
      <c r="N254" s="2"/>
      <c r="O254" s="22"/>
      <c r="P254" s="22"/>
      <c r="Q254" s="22"/>
      <c r="R254" s="1"/>
      <c r="S254" s="2"/>
      <c r="T254" s="28"/>
      <c r="U254" s="28"/>
      <c r="V254" s="1"/>
      <c r="W254" s="1"/>
      <c r="X254" s="1"/>
      <c r="Y254" s="1"/>
      <c r="Z254" s="1"/>
      <c r="AA254" s="42"/>
      <c r="AB254" s="42"/>
      <c r="AC254" s="42"/>
      <c r="AD254" s="42"/>
      <c r="AE254" s="42"/>
      <c r="AF254" s="42"/>
      <c r="AG254" s="42"/>
      <c r="AH254" s="42"/>
      <c r="AI254" s="42"/>
      <c r="AJ254" s="42"/>
      <c r="AK254" s="42"/>
      <c r="AL254" s="42"/>
      <c r="AM254" s="42"/>
      <c r="AN254" s="42"/>
      <c r="AO254" s="42"/>
      <c r="AP254" s="42"/>
      <c r="AQ254" s="42"/>
      <c r="AR254" s="42"/>
      <c r="AS254" s="42"/>
      <c r="AT254" s="42"/>
      <c r="AU254" s="42"/>
      <c r="AV254" s="42"/>
      <c r="AW254" s="42"/>
      <c r="AX254" s="42"/>
      <c r="AY254" s="42"/>
      <c r="AZ254" s="42"/>
      <c r="BA254" s="42"/>
      <c r="BB254" s="42"/>
      <c r="BC254" s="42"/>
      <c r="BD254" s="42"/>
      <c r="BE254" s="42"/>
      <c r="BF254" s="42"/>
      <c r="BG254" s="42"/>
      <c r="BH254" s="42"/>
      <c r="BI254" s="42"/>
      <c r="BJ254" s="42"/>
      <c r="BK254" s="42"/>
      <c r="BL254" s="42"/>
      <c r="BM254" s="42"/>
      <c r="BN254" s="42"/>
      <c r="BO254" s="42"/>
      <c r="BP254" s="42"/>
      <c r="BQ254" s="42"/>
      <c r="BR254" s="42"/>
      <c r="BS254" s="42"/>
      <c r="BT254" s="42"/>
      <c r="BU254" s="42"/>
      <c r="BV254" s="42"/>
      <c r="BW254" s="42"/>
      <c r="BX254" s="42"/>
      <c r="BY254" s="42"/>
      <c r="BZ254" s="42"/>
      <c r="CA254" s="42"/>
      <c r="CB254" s="42"/>
      <c r="CC254" s="42"/>
      <c r="CD254" s="42"/>
      <c r="CE254" s="42"/>
      <c r="CF254" s="42"/>
      <c r="CG254" s="42"/>
      <c r="CH254" s="42"/>
      <c r="CI254" s="42"/>
      <c r="CJ254" s="42"/>
      <c r="CK254" s="42"/>
      <c r="CL254" s="42"/>
      <c r="CM254" s="42"/>
      <c r="CN254" s="42"/>
      <c r="CO254" s="42"/>
      <c r="CP254" s="42"/>
      <c r="CQ254" s="42"/>
      <c r="CR254" s="42"/>
      <c r="CS254" s="42"/>
      <c r="CT254" s="42"/>
      <c r="CU254" s="42"/>
      <c r="CV254" s="42"/>
      <c r="CW254" s="42"/>
      <c r="CX254" s="42"/>
      <c r="CY254" s="42"/>
      <c r="CZ254" s="42"/>
      <c r="DA254" s="42"/>
      <c r="DB254" s="42"/>
      <c r="DC254" s="42"/>
      <c r="DD254" s="42"/>
      <c r="DE254" s="42"/>
      <c r="DF254" s="42">
        <v>252</v>
      </c>
      <c r="DG254" s="46">
        <v>126</v>
      </c>
      <c r="DH254" s="53" t="s">
        <v>0</v>
      </c>
    </row>
    <row r="255" spans="1:112" s="13" customFormat="1" ht="39.950000000000003" hidden="1" customHeight="1" x14ac:dyDescent="0.25">
      <c r="A255" s="2"/>
      <c r="B255" s="2"/>
      <c r="C255" s="2"/>
      <c r="D255" s="2"/>
      <c r="E255" s="2"/>
      <c r="F255" s="2"/>
      <c r="G255" s="2"/>
      <c r="H255" s="2"/>
      <c r="I255" s="2"/>
      <c r="J255" s="2"/>
      <c r="K255" s="2"/>
      <c r="L255" s="2"/>
      <c r="M255" s="2"/>
      <c r="N255" s="2"/>
      <c r="O255" s="22"/>
      <c r="P255" s="22"/>
      <c r="Q255" s="22"/>
      <c r="R255" s="1"/>
      <c r="S255" s="2"/>
      <c r="T255" s="28"/>
      <c r="U255" s="28"/>
      <c r="V255" s="1"/>
      <c r="W255" s="1"/>
      <c r="X255" s="1"/>
      <c r="Y255" s="1"/>
      <c r="Z255" s="1"/>
      <c r="AA255" s="42"/>
      <c r="AB255" s="42"/>
      <c r="AC255" s="42"/>
      <c r="AD255" s="42"/>
      <c r="AE255" s="42"/>
      <c r="AF255" s="42"/>
      <c r="AG255" s="42"/>
      <c r="AH255" s="42"/>
      <c r="AI255" s="42"/>
      <c r="AJ255" s="42"/>
      <c r="AK255" s="42"/>
      <c r="AL255" s="42"/>
      <c r="AM255" s="42"/>
      <c r="AN255" s="42"/>
      <c r="AO255" s="42"/>
      <c r="AP255" s="42"/>
      <c r="AQ255" s="42"/>
      <c r="AR255" s="42"/>
      <c r="AS255" s="42"/>
      <c r="AT255" s="42"/>
      <c r="AU255" s="42"/>
      <c r="AV255" s="42"/>
      <c r="AW255" s="42"/>
      <c r="AX255" s="42"/>
      <c r="AY255" s="42"/>
      <c r="AZ255" s="42"/>
      <c r="BA255" s="42"/>
      <c r="BB255" s="42"/>
      <c r="BC255" s="42"/>
      <c r="BD255" s="42"/>
      <c r="BE255" s="42"/>
      <c r="BF255" s="42"/>
      <c r="BG255" s="42"/>
      <c r="BH255" s="42"/>
      <c r="BI255" s="42"/>
      <c r="BJ255" s="42"/>
      <c r="BK255" s="42"/>
      <c r="BL255" s="42"/>
      <c r="BM255" s="42"/>
      <c r="BN255" s="42"/>
      <c r="BO255" s="42"/>
      <c r="BP255" s="42"/>
      <c r="BQ255" s="42"/>
      <c r="BR255" s="42"/>
      <c r="BS255" s="42"/>
      <c r="BT255" s="42"/>
      <c r="BU255" s="42"/>
      <c r="BV255" s="42"/>
      <c r="BW255" s="42"/>
      <c r="BX255" s="42"/>
      <c r="BY255" s="42"/>
      <c r="BZ255" s="42"/>
      <c r="CA255" s="42"/>
      <c r="CB255" s="42"/>
      <c r="CC255" s="42"/>
      <c r="CD255" s="42"/>
      <c r="CE255" s="42"/>
      <c r="CF255" s="42"/>
      <c r="CG255" s="42"/>
      <c r="CH255" s="42"/>
      <c r="CI255" s="42"/>
      <c r="CJ255" s="42"/>
      <c r="CK255" s="42"/>
      <c r="CL255" s="42"/>
      <c r="CM255" s="42"/>
      <c r="CN255" s="42"/>
      <c r="CO255" s="42"/>
      <c r="CP255" s="42"/>
      <c r="CQ255" s="42"/>
      <c r="CR255" s="42"/>
      <c r="CS255" s="42"/>
      <c r="CT255" s="42"/>
      <c r="CU255" s="42"/>
      <c r="CV255" s="42"/>
      <c r="CW255" s="42"/>
      <c r="CX255" s="42"/>
      <c r="CY255" s="42"/>
      <c r="CZ255" s="42"/>
      <c r="DA255" s="42"/>
      <c r="DB255" s="42"/>
      <c r="DC255" s="42"/>
      <c r="DD255" s="42"/>
      <c r="DE255" s="42"/>
      <c r="DF255" s="42">
        <v>253</v>
      </c>
      <c r="DG255" s="46">
        <v>126.5</v>
      </c>
      <c r="DH255" s="53" t="s">
        <v>0</v>
      </c>
    </row>
    <row r="256" spans="1:112" s="13" customFormat="1" ht="39.950000000000003" hidden="1" customHeight="1" x14ac:dyDescent="0.25">
      <c r="A256" s="2"/>
      <c r="B256" s="2"/>
      <c r="C256" s="2"/>
      <c r="D256" s="2"/>
      <c r="E256" s="2"/>
      <c r="F256" s="2"/>
      <c r="G256" s="2"/>
      <c r="H256" s="2"/>
      <c r="I256" s="2"/>
      <c r="J256" s="2"/>
      <c r="K256" s="2"/>
      <c r="L256" s="2"/>
      <c r="M256" s="2"/>
      <c r="N256" s="2"/>
      <c r="O256" s="22"/>
      <c r="P256" s="22"/>
      <c r="Q256" s="22"/>
      <c r="R256" s="1"/>
      <c r="S256" s="2"/>
      <c r="T256" s="28"/>
      <c r="U256" s="28"/>
      <c r="V256" s="1"/>
      <c r="W256" s="1"/>
      <c r="X256" s="1"/>
      <c r="Y256" s="1"/>
      <c r="Z256" s="1"/>
      <c r="AA256" s="42"/>
      <c r="AB256" s="42"/>
      <c r="AC256" s="42"/>
      <c r="AD256" s="42"/>
      <c r="AE256" s="42"/>
      <c r="AF256" s="42"/>
      <c r="AG256" s="42"/>
      <c r="AH256" s="42"/>
      <c r="AI256" s="42"/>
      <c r="AJ256" s="42"/>
      <c r="AK256" s="42"/>
      <c r="AL256" s="42"/>
      <c r="AM256" s="42"/>
      <c r="AN256" s="42"/>
      <c r="AO256" s="42"/>
      <c r="AP256" s="42"/>
      <c r="AQ256" s="42"/>
      <c r="AR256" s="42"/>
      <c r="AS256" s="42"/>
      <c r="AT256" s="42"/>
      <c r="AU256" s="42"/>
      <c r="AV256" s="42"/>
      <c r="AW256" s="42"/>
      <c r="AX256" s="42"/>
      <c r="AY256" s="42"/>
      <c r="AZ256" s="42"/>
      <c r="BA256" s="42"/>
      <c r="BB256" s="42"/>
      <c r="BC256" s="42"/>
      <c r="BD256" s="42"/>
      <c r="BE256" s="42"/>
      <c r="BF256" s="42"/>
      <c r="BG256" s="42"/>
      <c r="BH256" s="42"/>
      <c r="BI256" s="42"/>
      <c r="BJ256" s="42"/>
      <c r="BK256" s="42"/>
      <c r="BL256" s="42"/>
      <c r="BM256" s="42"/>
      <c r="BN256" s="42"/>
      <c r="BO256" s="42"/>
      <c r="BP256" s="42"/>
      <c r="BQ256" s="42"/>
      <c r="BR256" s="42"/>
      <c r="BS256" s="42"/>
      <c r="BT256" s="42"/>
      <c r="BU256" s="42"/>
      <c r="BV256" s="42"/>
      <c r="BW256" s="42"/>
      <c r="BX256" s="42"/>
      <c r="BY256" s="42"/>
      <c r="BZ256" s="42"/>
      <c r="CA256" s="42"/>
      <c r="CB256" s="42"/>
      <c r="CC256" s="42"/>
      <c r="CD256" s="42"/>
      <c r="CE256" s="42"/>
      <c r="CF256" s="42"/>
      <c r="CG256" s="42"/>
      <c r="CH256" s="42"/>
      <c r="CI256" s="42"/>
      <c r="CJ256" s="42"/>
      <c r="CK256" s="42"/>
      <c r="CL256" s="42"/>
      <c r="CM256" s="42"/>
      <c r="CN256" s="42"/>
      <c r="CO256" s="42"/>
      <c r="CP256" s="42"/>
      <c r="CQ256" s="42"/>
      <c r="CR256" s="42"/>
      <c r="CS256" s="42"/>
      <c r="CT256" s="42"/>
      <c r="CU256" s="42"/>
      <c r="CV256" s="42"/>
      <c r="CW256" s="42"/>
      <c r="CX256" s="42"/>
      <c r="CY256" s="42"/>
      <c r="CZ256" s="42"/>
      <c r="DA256" s="42"/>
      <c r="DB256" s="42"/>
      <c r="DC256" s="42"/>
      <c r="DD256" s="42"/>
      <c r="DE256" s="42"/>
      <c r="DF256" s="42">
        <v>254</v>
      </c>
      <c r="DG256" s="46">
        <v>127</v>
      </c>
      <c r="DH256" s="53" t="s">
        <v>0</v>
      </c>
    </row>
    <row r="257" spans="1:112" s="13" customFormat="1" ht="39.950000000000003" hidden="1" customHeight="1" x14ac:dyDescent="0.25">
      <c r="A257" s="2"/>
      <c r="B257" s="2"/>
      <c r="C257" s="2"/>
      <c r="D257" s="2"/>
      <c r="E257" s="2"/>
      <c r="F257" s="2"/>
      <c r="G257" s="2"/>
      <c r="H257" s="2"/>
      <c r="I257" s="2"/>
      <c r="J257" s="2"/>
      <c r="K257" s="2"/>
      <c r="L257" s="2"/>
      <c r="M257" s="2"/>
      <c r="N257" s="2"/>
      <c r="O257" s="22"/>
      <c r="P257" s="22"/>
      <c r="Q257" s="22"/>
      <c r="R257" s="1"/>
      <c r="S257" s="2"/>
      <c r="T257" s="28"/>
      <c r="U257" s="28"/>
      <c r="V257" s="1"/>
      <c r="W257" s="1"/>
      <c r="X257" s="1"/>
      <c r="Y257" s="1"/>
      <c r="Z257" s="1"/>
      <c r="AA257" s="42"/>
      <c r="AB257" s="42"/>
      <c r="AC257" s="42"/>
      <c r="AD257" s="42"/>
      <c r="AE257" s="42"/>
      <c r="AF257" s="42"/>
      <c r="AG257" s="42"/>
      <c r="AH257" s="42"/>
      <c r="AI257" s="42"/>
      <c r="AJ257" s="42"/>
      <c r="AK257" s="42"/>
      <c r="AL257" s="42"/>
      <c r="AM257" s="42"/>
      <c r="AN257" s="42"/>
      <c r="AO257" s="42"/>
      <c r="AP257" s="42"/>
      <c r="AQ257" s="42"/>
      <c r="AR257" s="42"/>
      <c r="AS257" s="42"/>
      <c r="AT257" s="42"/>
      <c r="AU257" s="42"/>
      <c r="AV257" s="42"/>
      <c r="AW257" s="42"/>
      <c r="AX257" s="42"/>
      <c r="AY257" s="42"/>
      <c r="AZ257" s="42"/>
      <c r="BA257" s="42"/>
      <c r="BB257" s="42"/>
      <c r="BC257" s="42"/>
      <c r="BD257" s="42"/>
      <c r="BE257" s="42"/>
      <c r="BF257" s="42"/>
      <c r="BG257" s="42"/>
      <c r="BH257" s="42"/>
      <c r="BI257" s="42"/>
      <c r="BJ257" s="42"/>
      <c r="BK257" s="42"/>
      <c r="BL257" s="42"/>
      <c r="BM257" s="42"/>
      <c r="BN257" s="42"/>
      <c r="BO257" s="42"/>
      <c r="BP257" s="42"/>
      <c r="BQ257" s="42"/>
      <c r="BR257" s="42"/>
      <c r="BS257" s="42"/>
      <c r="BT257" s="42"/>
      <c r="BU257" s="42"/>
      <c r="BV257" s="42"/>
      <c r="BW257" s="42"/>
      <c r="BX257" s="42"/>
      <c r="BY257" s="42"/>
      <c r="BZ257" s="42"/>
      <c r="CA257" s="42"/>
      <c r="CB257" s="42"/>
      <c r="CC257" s="42"/>
      <c r="CD257" s="42"/>
      <c r="CE257" s="42"/>
      <c r="CF257" s="42"/>
      <c r="CG257" s="42"/>
      <c r="CH257" s="42"/>
      <c r="CI257" s="42"/>
      <c r="CJ257" s="42"/>
      <c r="CK257" s="42"/>
      <c r="CL257" s="42"/>
      <c r="CM257" s="42"/>
      <c r="CN257" s="42"/>
      <c r="CO257" s="42"/>
      <c r="CP257" s="42"/>
      <c r="CQ257" s="42"/>
      <c r="CR257" s="42"/>
      <c r="CS257" s="42"/>
      <c r="CT257" s="42"/>
      <c r="CU257" s="42"/>
      <c r="CV257" s="42"/>
      <c r="CW257" s="42"/>
      <c r="CX257" s="42"/>
      <c r="CY257" s="42"/>
      <c r="CZ257" s="42"/>
      <c r="DA257" s="42"/>
      <c r="DB257" s="42"/>
      <c r="DC257" s="42"/>
      <c r="DD257" s="42"/>
      <c r="DE257" s="42"/>
      <c r="DF257" s="42">
        <v>255</v>
      </c>
      <c r="DG257" s="46">
        <v>127.5</v>
      </c>
      <c r="DH257" s="53" t="s">
        <v>0</v>
      </c>
    </row>
    <row r="258" spans="1:112" s="13" customFormat="1" ht="39.950000000000003" hidden="1" customHeight="1" x14ac:dyDescent="0.25">
      <c r="A258" s="2"/>
      <c r="B258" s="2"/>
      <c r="C258" s="2"/>
      <c r="D258" s="2"/>
      <c r="E258" s="2"/>
      <c r="F258" s="2"/>
      <c r="G258" s="2"/>
      <c r="H258" s="2"/>
      <c r="I258" s="2"/>
      <c r="J258" s="2"/>
      <c r="K258" s="2"/>
      <c r="L258" s="2"/>
      <c r="M258" s="2"/>
      <c r="N258" s="2"/>
      <c r="O258" s="22"/>
      <c r="P258" s="22"/>
      <c r="Q258" s="22"/>
      <c r="R258" s="1"/>
      <c r="S258" s="2"/>
      <c r="T258" s="28"/>
      <c r="U258" s="28"/>
      <c r="V258" s="1"/>
      <c r="W258" s="1"/>
      <c r="X258" s="1"/>
      <c r="Y258" s="1"/>
      <c r="Z258" s="1"/>
      <c r="AA258" s="42"/>
      <c r="AB258" s="42"/>
      <c r="AC258" s="42"/>
      <c r="AD258" s="42"/>
      <c r="AE258" s="42"/>
      <c r="AF258" s="42"/>
      <c r="AG258" s="42"/>
      <c r="AH258" s="42"/>
      <c r="AI258" s="42"/>
      <c r="AJ258" s="42"/>
      <c r="AK258" s="42"/>
      <c r="AL258" s="42"/>
      <c r="AM258" s="42"/>
      <c r="AN258" s="42"/>
      <c r="AO258" s="42"/>
      <c r="AP258" s="42"/>
      <c r="AQ258" s="42"/>
      <c r="AR258" s="42"/>
      <c r="AS258" s="42"/>
      <c r="AT258" s="42"/>
      <c r="AU258" s="42"/>
      <c r="AV258" s="42"/>
      <c r="AW258" s="42"/>
      <c r="AX258" s="42"/>
      <c r="AY258" s="42"/>
      <c r="AZ258" s="42"/>
      <c r="BA258" s="42"/>
      <c r="BB258" s="42"/>
      <c r="BC258" s="42"/>
      <c r="BD258" s="42"/>
      <c r="BE258" s="42"/>
      <c r="BF258" s="42"/>
      <c r="BG258" s="42"/>
      <c r="BH258" s="42"/>
      <c r="BI258" s="42"/>
      <c r="BJ258" s="42"/>
      <c r="BK258" s="42"/>
      <c r="BL258" s="42"/>
      <c r="BM258" s="42"/>
      <c r="BN258" s="42"/>
      <c r="BO258" s="42"/>
      <c r="BP258" s="42"/>
      <c r="BQ258" s="42"/>
      <c r="BR258" s="42"/>
      <c r="BS258" s="42"/>
      <c r="BT258" s="42"/>
      <c r="BU258" s="42"/>
      <c r="BV258" s="42"/>
      <c r="BW258" s="42"/>
      <c r="BX258" s="42"/>
      <c r="BY258" s="42"/>
      <c r="BZ258" s="42"/>
      <c r="CA258" s="42"/>
      <c r="CB258" s="42"/>
      <c r="CC258" s="42"/>
      <c r="CD258" s="42"/>
      <c r="CE258" s="42"/>
      <c r="CF258" s="42"/>
      <c r="CG258" s="42"/>
      <c r="CH258" s="42"/>
      <c r="CI258" s="42"/>
      <c r="CJ258" s="42"/>
      <c r="CK258" s="42"/>
      <c r="CL258" s="42"/>
      <c r="CM258" s="42"/>
      <c r="CN258" s="42"/>
      <c r="CO258" s="42"/>
      <c r="CP258" s="42"/>
      <c r="CQ258" s="42"/>
      <c r="CR258" s="42"/>
      <c r="CS258" s="42"/>
      <c r="CT258" s="42"/>
      <c r="CU258" s="42"/>
      <c r="CV258" s="42"/>
      <c r="CW258" s="42"/>
      <c r="CX258" s="42"/>
      <c r="CY258" s="42"/>
      <c r="CZ258" s="42"/>
      <c r="DA258" s="42"/>
      <c r="DB258" s="42"/>
      <c r="DC258" s="42"/>
      <c r="DD258" s="42"/>
      <c r="DE258" s="42"/>
      <c r="DF258" s="42">
        <v>256</v>
      </c>
      <c r="DG258" s="46">
        <v>128</v>
      </c>
      <c r="DH258" s="53" t="s">
        <v>0</v>
      </c>
    </row>
    <row r="259" spans="1:112" s="13" customFormat="1" ht="39.950000000000003" hidden="1" customHeight="1" x14ac:dyDescent="0.25">
      <c r="A259" s="2"/>
      <c r="B259" s="2"/>
      <c r="C259" s="2"/>
      <c r="D259" s="2"/>
      <c r="E259" s="2"/>
      <c r="F259" s="2"/>
      <c r="G259" s="2"/>
      <c r="H259" s="2"/>
      <c r="I259" s="2"/>
      <c r="J259" s="2"/>
      <c r="K259" s="2"/>
      <c r="L259" s="2"/>
      <c r="M259" s="2"/>
      <c r="N259" s="2"/>
      <c r="O259" s="22"/>
      <c r="P259" s="22"/>
      <c r="Q259" s="22"/>
      <c r="R259" s="1"/>
      <c r="S259" s="2"/>
      <c r="T259" s="28"/>
      <c r="U259" s="28"/>
      <c r="V259" s="1"/>
      <c r="W259" s="1"/>
      <c r="X259" s="1"/>
      <c r="Y259" s="1"/>
      <c r="Z259" s="1"/>
      <c r="AA259" s="42"/>
      <c r="AB259" s="42"/>
      <c r="AC259" s="42"/>
      <c r="AD259" s="42"/>
      <c r="AE259" s="42"/>
      <c r="AF259" s="42"/>
      <c r="AG259" s="42"/>
      <c r="AH259" s="42"/>
      <c r="AI259" s="42"/>
      <c r="AJ259" s="42"/>
      <c r="AK259" s="42"/>
      <c r="AL259" s="42"/>
      <c r="AM259" s="42"/>
      <c r="AN259" s="42"/>
      <c r="AO259" s="42"/>
      <c r="AP259" s="42"/>
      <c r="AQ259" s="42"/>
      <c r="AR259" s="42"/>
      <c r="AS259" s="42"/>
      <c r="AT259" s="42"/>
      <c r="AU259" s="42"/>
      <c r="AV259" s="42"/>
      <c r="AW259" s="42"/>
      <c r="AX259" s="42"/>
      <c r="AY259" s="42"/>
      <c r="AZ259" s="42"/>
      <c r="BA259" s="42"/>
      <c r="BB259" s="42"/>
      <c r="BC259" s="42"/>
      <c r="BD259" s="42"/>
      <c r="BE259" s="42"/>
      <c r="BF259" s="42"/>
      <c r="BG259" s="42"/>
      <c r="BH259" s="42"/>
      <c r="BI259" s="42"/>
      <c r="BJ259" s="42"/>
      <c r="BK259" s="42"/>
      <c r="BL259" s="42"/>
      <c r="BM259" s="42"/>
      <c r="BN259" s="42"/>
      <c r="BO259" s="42"/>
      <c r="BP259" s="42"/>
      <c r="BQ259" s="42"/>
      <c r="BR259" s="42"/>
      <c r="BS259" s="42"/>
      <c r="BT259" s="42"/>
      <c r="BU259" s="42"/>
      <c r="BV259" s="42"/>
      <c r="BW259" s="42"/>
      <c r="BX259" s="42"/>
      <c r="BY259" s="42"/>
      <c r="BZ259" s="42"/>
      <c r="CA259" s="42"/>
      <c r="CB259" s="42"/>
      <c r="CC259" s="42"/>
      <c r="CD259" s="42"/>
      <c r="CE259" s="42"/>
      <c r="CF259" s="42"/>
      <c r="CG259" s="42"/>
      <c r="CH259" s="42"/>
      <c r="CI259" s="42"/>
      <c r="CJ259" s="42"/>
      <c r="CK259" s="42"/>
      <c r="CL259" s="42"/>
      <c r="CM259" s="42"/>
      <c r="CN259" s="42"/>
      <c r="CO259" s="42"/>
      <c r="CP259" s="42"/>
      <c r="CQ259" s="42"/>
      <c r="CR259" s="42"/>
      <c r="CS259" s="42"/>
      <c r="CT259" s="42"/>
      <c r="CU259" s="42"/>
      <c r="CV259" s="42"/>
      <c r="CW259" s="42"/>
      <c r="CX259" s="42"/>
      <c r="CY259" s="42"/>
      <c r="CZ259" s="42"/>
      <c r="DA259" s="42"/>
      <c r="DB259" s="42"/>
      <c r="DC259" s="42"/>
      <c r="DD259" s="42"/>
      <c r="DE259" s="42"/>
      <c r="DF259" s="42">
        <v>257</v>
      </c>
      <c r="DG259" s="46">
        <v>128.5</v>
      </c>
      <c r="DH259" s="53" t="s">
        <v>0</v>
      </c>
    </row>
    <row r="260" spans="1:112" s="13" customFormat="1" ht="39.950000000000003" hidden="1" customHeight="1" x14ac:dyDescent="0.25">
      <c r="A260" s="2"/>
      <c r="B260" s="2"/>
      <c r="C260" s="2"/>
      <c r="D260" s="2"/>
      <c r="E260" s="2"/>
      <c r="F260" s="2"/>
      <c r="G260" s="2"/>
      <c r="H260" s="2"/>
      <c r="I260" s="2"/>
      <c r="J260" s="2"/>
      <c r="K260" s="2"/>
      <c r="L260" s="2"/>
      <c r="M260" s="2"/>
      <c r="N260" s="2"/>
      <c r="O260" s="22"/>
      <c r="P260" s="22"/>
      <c r="Q260" s="22"/>
      <c r="R260" s="1"/>
      <c r="S260" s="2"/>
      <c r="T260" s="28"/>
      <c r="U260" s="28"/>
      <c r="V260" s="1"/>
      <c r="W260" s="1"/>
      <c r="X260" s="1"/>
      <c r="Y260" s="1"/>
      <c r="Z260" s="1"/>
      <c r="AA260" s="42"/>
      <c r="AB260" s="42"/>
      <c r="AC260" s="42"/>
      <c r="AD260" s="42"/>
      <c r="AE260" s="42"/>
      <c r="AF260" s="42"/>
      <c r="AG260" s="42"/>
      <c r="AH260" s="42"/>
      <c r="AI260" s="42"/>
      <c r="AJ260" s="42"/>
      <c r="AK260" s="42"/>
      <c r="AL260" s="42"/>
      <c r="AM260" s="42"/>
      <c r="AN260" s="42"/>
      <c r="AO260" s="42"/>
      <c r="AP260" s="42"/>
      <c r="AQ260" s="42"/>
      <c r="AR260" s="42"/>
      <c r="AS260" s="42"/>
      <c r="AT260" s="42"/>
      <c r="AU260" s="42"/>
      <c r="AV260" s="42"/>
      <c r="AW260" s="42"/>
      <c r="AX260" s="42"/>
      <c r="AY260" s="42"/>
      <c r="AZ260" s="42"/>
      <c r="BA260" s="42"/>
      <c r="BB260" s="42"/>
      <c r="BC260" s="42"/>
      <c r="BD260" s="42"/>
      <c r="BE260" s="42"/>
      <c r="BF260" s="42"/>
      <c r="BG260" s="42"/>
      <c r="BH260" s="42"/>
      <c r="BI260" s="42"/>
      <c r="BJ260" s="42"/>
      <c r="BK260" s="42"/>
      <c r="BL260" s="42"/>
      <c r="BM260" s="42"/>
      <c r="BN260" s="42"/>
      <c r="BO260" s="42"/>
      <c r="BP260" s="42"/>
      <c r="BQ260" s="42"/>
      <c r="BR260" s="42"/>
      <c r="BS260" s="42"/>
      <c r="BT260" s="42"/>
      <c r="BU260" s="42"/>
      <c r="BV260" s="42"/>
      <c r="BW260" s="42"/>
      <c r="BX260" s="42"/>
      <c r="BY260" s="42"/>
      <c r="BZ260" s="42"/>
      <c r="CA260" s="42"/>
      <c r="CB260" s="42"/>
      <c r="CC260" s="42"/>
      <c r="CD260" s="42"/>
      <c r="CE260" s="42"/>
      <c r="CF260" s="42"/>
      <c r="CG260" s="42"/>
      <c r="CH260" s="42"/>
      <c r="CI260" s="42"/>
      <c r="CJ260" s="42"/>
      <c r="CK260" s="42"/>
      <c r="CL260" s="42"/>
      <c r="CM260" s="42"/>
      <c r="CN260" s="42"/>
      <c r="CO260" s="42"/>
      <c r="CP260" s="42"/>
      <c r="CQ260" s="42"/>
      <c r="CR260" s="42"/>
      <c r="CS260" s="42"/>
      <c r="CT260" s="42"/>
      <c r="CU260" s="42"/>
      <c r="CV260" s="42"/>
      <c r="CW260" s="42"/>
      <c r="CX260" s="42"/>
      <c r="CY260" s="42"/>
      <c r="CZ260" s="42"/>
      <c r="DA260" s="42"/>
      <c r="DB260" s="42"/>
      <c r="DC260" s="42"/>
      <c r="DD260" s="42"/>
      <c r="DE260" s="42"/>
      <c r="DF260" s="42">
        <v>258</v>
      </c>
      <c r="DG260" s="46">
        <v>129</v>
      </c>
      <c r="DH260" s="53" t="s">
        <v>0</v>
      </c>
    </row>
    <row r="261" spans="1:112" s="13" customFormat="1" ht="39.950000000000003" hidden="1" customHeight="1" x14ac:dyDescent="0.25">
      <c r="A261" s="2"/>
      <c r="B261" s="2"/>
      <c r="C261" s="2"/>
      <c r="D261" s="2"/>
      <c r="E261" s="2"/>
      <c r="F261" s="2"/>
      <c r="G261" s="2"/>
      <c r="H261" s="2"/>
      <c r="I261" s="2"/>
      <c r="J261" s="2"/>
      <c r="K261" s="2"/>
      <c r="L261" s="2"/>
      <c r="M261" s="2"/>
      <c r="N261" s="2"/>
      <c r="O261" s="22"/>
      <c r="P261" s="22"/>
      <c r="Q261" s="22"/>
      <c r="R261" s="1"/>
      <c r="S261" s="2"/>
      <c r="T261" s="28"/>
      <c r="U261" s="28"/>
      <c r="V261" s="1"/>
      <c r="W261" s="1"/>
      <c r="X261" s="1"/>
      <c r="Y261" s="1"/>
      <c r="Z261" s="1"/>
      <c r="AA261" s="42"/>
      <c r="AB261" s="42"/>
      <c r="AC261" s="42"/>
      <c r="AD261" s="42"/>
      <c r="AE261" s="42"/>
      <c r="AF261" s="42"/>
      <c r="AG261" s="42"/>
      <c r="AH261" s="42"/>
      <c r="AI261" s="42"/>
      <c r="AJ261" s="42"/>
      <c r="AK261" s="42"/>
      <c r="AL261" s="42"/>
      <c r="AM261" s="42"/>
      <c r="AN261" s="42"/>
      <c r="AO261" s="42"/>
      <c r="AP261" s="42"/>
      <c r="AQ261" s="42"/>
      <c r="AR261" s="42"/>
      <c r="AS261" s="42"/>
      <c r="AT261" s="42"/>
      <c r="AU261" s="42"/>
      <c r="AV261" s="42"/>
      <c r="AW261" s="42"/>
      <c r="AX261" s="42"/>
      <c r="AY261" s="42"/>
      <c r="AZ261" s="42"/>
      <c r="BA261" s="42"/>
      <c r="BB261" s="42"/>
      <c r="BC261" s="42"/>
      <c r="BD261" s="42"/>
      <c r="BE261" s="42"/>
      <c r="BF261" s="42"/>
      <c r="BG261" s="42"/>
      <c r="BH261" s="42"/>
      <c r="BI261" s="42"/>
      <c r="BJ261" s="42"/>
      <c r="BK261" s="42"/>
      <c r="BL261" s="42"/>
      <c r="BM261" s="42"/>
      <c r="BN261" s="42"/>
      <c r="BO261" s="42"/>
      <c r="BP261" s="42"/>
      <c r="BQ261" s="42"/>
      <c r="BR261" s="42"/>
      <c r="BS261" s="42"/>
      <c r="BT261" s="42"/>
      <c r="BU261" s="42"/>
      <c r="BV261" s="42"/>
      <c r="BW261" s="42"/>
      <c r="BX261" s="42"/>
      <c r="BY261" s="42"/>
      <c r="BZ261" s="42"/>
      <c r="CA261" s="42"/>
      <c r="CB261" s="42"/>
      <c r="CC261" s="42"/>
      <c r="CD261" s="42"/>
      <c r="CE261" s="42"/>
      <c r="CF261" s="42"/>
      <c r="CG261" s="42"/>
      <c r="CH261" s="42"/>
      <c r="CI261" s="42"/>
      <c r="CJ261" s="42"/>
      <c r="CK261" s="42"/>
      <c r="CL261" s="42"/>
      <c r="CM261" s="42"/>
      <c r="CN261" s="42"/>
      <c r="CO261" s="42"/>
      <c r="CP261" s="42"/>
      <c r="CQ261" s="42"/>
      <c r="CR261" s="42"/>
      <c r="CS261" s="42"/>
      <c r="CT261" s="42"/>
      <c r="CU261" s="42"/>
      <c r="CV261" s="42"/>
      <c r="CW261" s="42"/>
      <c r="CX261" s="42"/>
      <c r="CY261" s="42"/>
      <c r="CZ261" s="42"/>
      <c r="DA261" s="42"/>
      <c r="DB261" s="42"/>
      <c r="DC261" s="42"/>
      <c r="DD261" s="42"/>
      <c r="DE261" s="42"/>
      <c r="DF261" s="42">
        <v>259</v>
      </c>
      <c r="DG261" s="46">
        <v>129.5</v>
      </c>
      <c r="DH261" s="53" t="s">
        <v>0</v>
      </c>
    </row>
    <row r="262" spans="1:112" s="13" customFormat="1" ht="39.950000000000003" hidden="1" customHeight="1" x14ac:dyDescent="0.25">
      <c r="A262" s="2"/>
      <c r="B262" s="2"/>
      <c r="C262" s="2"/>
      <c r="D262" s="2"/>
      <c r="E262" s="2"/>
      <c r="F262" s="2"/>
      <c r="G262" s="2"/>
      <c r="H262" s="2"/>
      <c r="I262" s="2"/>
      <c r="J262" s="2"/>
      <c r="K262" s="2"/>
      <c r="L262" s="2"/>
      <c r="M262" s="2"/>
      <c r="N262" s="2"/>
      <c r="O262" s="22"/>
      <c r="P262" s="22"/>
      <c r="Q262" s="22"/>
      <c r="R262" s="1"/>
      <c r="S262" s="2"/>
      <c r="T262" s="28"/>
      <c r="U262" s="28"/>
      <c r="V262" s="1"/>
      <c r="W262" s="1"/>
      <c r="X262" s="1"/>
      <c r="Y262" s="1"/>
      <c r="Z262" s="1"/>
      <c r="AA262" s="42"/>
      <c r="AB262" s="42"/>
      <c r="AC262" s="42"/>
      <c r="AD262" s="42"/>
      <c r="AE262" s="42"/>
      <c r="AF262" s="42"/>
      <c r="AG262" s="42"/>
      <c r="AH262" s="42"/>
      <c r="AI262" s="42"/>
      <c r="AJ262" s="42"/>
      <c r="AK262" s="42"/>
      <c r="AL262" s="42"/>
      <c r="AM262" s="42"/>
      <c r="AN262" s="42"/>
      <c r="AO262" s="42"/>
      <c r="AP262" s="42"/>
      <c r="AQ262" s="42"/>
      <c r="AR262" s="42"/>
      <c r="AS262" s="42"/>
      <c r="AT262" s="42"/>
      <c r="AU262" s="42"/>
      <c r="AV262" s="42"/>
      <c r="AW262" s="42"/>
      <c r="AX262" s="42"/>
      <c r="AY262" s="42"/>
      <c r="AZ262" s="42"/>
      <c r="BA262" s="42"/>
      <c r="BB262" s="42"/>
      <c r="BC262" s="42"/>
      <c r="BD262" s="42"/>
      <c r="BE262" s="42"/>
      <c r="BF262" s="42"/>
      <c r="BG262" s="42"/>
      <c r="BH262" s="42"/>
      <c r="BI262" s="42"/>
      <c r="BJ262" s="42"/>
      <c r="BK262" s="42"/>
      <c r="BL262" s="42"/>
      <c r="BM262" s="42"/>
      <c r="BN262" s="42"/>
      <c r="BO262" s="42"/>
      <c r="BP262" s="42"/>
      <c r="BQ262" s="42"/>
      <c r="BR262" s="42"/>
      <c r="BS262" s="42"/>
      <c r="BT262" s="42"/>
      <c r="BU262" s="42"/>
      <c r="BV262" s="42"/>
      <c r="BW262" s="42"/>
      <c r="BX262" s="42"/>
      <c r="BY262" s="42"/>
      <c r="BZ262" s="42"/>
      <c r="CA262" s="42"/>
      <c r="CB262" s="42"/>
      <c r="CC262" s="42"/>
      <c r="CD262" s="42"/>
      <c r="CE262" s="42"/>
      <c r="CF262" s="42"/>
      <c r="CG262" s="42"/>
      <c r="CH262" s="42"/>
      <c r="CI262" s="42"/>
      <c r="CJ262" s="42"/>
      <c r="CK262" s="42"/>
      <c r="CL262" s="42"/>
      <c r="CM262" s="42"/>
      <c r="CN262" s="42"/>
      <c r="CO262" s="42"/>
      <c r="CP262" s="42"/>
      <c r="CQ262" s="42"/>
      <c r="CR262" s="42"/>
      <c r="CS262" s="42"/>
      <c r="CT262" s="42"/>
      <c r="CU262" s="42"/>
      <c r="CV262" s="42"/>
      <c r="CW262" s="42"/>
      <c r="CX262" s="42"/>
      <c r="CY262" s="42"/>
      <c r="CZ262" s="42"/>
      <c r="DA262" s="42"/>
      <c r="DB262" s="42"/>
      <c r="DC262" s="42"/>
      <c r="DD262" s="42"/>
      <c r="DE262" s="42"/>
      <c r="DF262" s="42">
        <v>260</v>
      </c>
      <c r="DG262" s="46">
        <v>130</v>
      </c>
      <c r="DH262" s="53" t="s">
        <v>0</v>
      </c>
    </row>
    <row r="263" spans="1:112" s="13" customFormat="1" ht="39.950000000000003" hidden="1" customHeight="1" x14ac:dyDescent="0.25">
      <c r="A263" s="2"/>
      <c r="B263" s="2"/>
      <c r="C263" s="2"/>
      <c r="D263" s="2"/>
      <c r="E263" s="2"/>
      <c r="F263" s="2"/>
      <c r="G263" s="2"/>
      <c r="H263" s="2"/>
      <c r="I263" s="2"/>
      <c r="J263" s="2"/>
      <c r="K263" s="2"/>
      <c r="L263" s="2"/>
      <c r="M263" s="2"/>
      <c r="N263" s="2"/>
      <c r="O263" s="22"/>
      <c r="P263" s="22"/>
      <c r="Q263" s="22"/>
      <c r="R263" s="1"/>
      <c r="S263" s="2"/>
      <c r="T263" s="28"/>
      <c r="U263" s="28"/>
      <c r="V263" s="1"/>
      <c r="W263" s="1"/>
      <c r="X263" s="1"/>
      <c r="Y263" s="1"/>
      <c r="Z263" s="1"/>
      <c r="AA263" s="42"/>
      <c r="AB263" s="42"/>
      <c r="AC263" s="42"/>
      <c r="AD263" s="42"/>
      <c r="AE263" s="42"/>
      <c r="AF263" s="42"/>
      <c r="AG263" s="42"/>
      <c r="AH263" s="42"/>
      <c r="AI263" s="42"/>
      <c r="AJ263" s="42"/>
      <c r="AK263" s="42"/>
      <c r="AL263" s="42"/>
      <c r="AM263" s="42"/>
      <c r="AN263" s="42"/>
      <c r="AO263" s="42"/>
      <c r="AP263" s="42"/>
      <c r="AQ263" s="42"/>
      <c r="AR263" s="42"/>
      <c r="AS263" s="42"/>
      <c r="AT263" s="42"/>
      <c r="AU263" s="42"/>
      <c r="AV263" s="42"/>
      <c r="AW263" s="42"/>
      <c r="AX263" s="42"/>
      <c r="AY263" s="42"/>
      <c r="AZ263" s="42"/>
      <c r="BA263" s="42"/>
      <c r="BB263" s="42"/>
      <c r="BC263" s="42"/>
      <c r="BD263" s="42"/>
      <c r="BE263" s="42"/>
      <c r="BF263" s="42"/>
      <c r="BG263" s="42"/>
      <c r="BH263" s="42"/>
      <c r="BI263" s="42"/>
      <c r="BJ263" s="42"/>
      <c r="BK263" s="42"/>
      <c r="BL263" s="42"/>
      <c r="BM263" s="42"/>
      <c r="BN263" s="42"/>
      <c r="BO263" s="42"/>
      <c r="BP263" s="42"/>
      <c r="BQ263" s="42"/>
      <c r="BR263" s="42"/>
      <c r="BS263" s="42"/>
      <c r="BT263" s="42"/>
      <c r="BU263" s="42"/>
      <c r="BV263" s="42"/>
      <c r="BW263" s="42"/>
      <c r="BX263" s="42"/>
      <c r="BY263" s="42"/>
      <c r="BZ263" s="42"/>
      <c r="CA263" s="42"/>
      <c r="CB263" s="42"/>
      <c r="CC263" s="42"/>
      <c r="CD263" s="42"/>
      <c r="CE263" s="42"/>
      <c r="CF263" s="42"/>
      <c r="CG263" s="42"/>
      <c r="CH263" s="42"/>
      <c r="CI263" s="42"/>
      <c r="CJ263" s="42"/>
      <c r="CK263" s="42"/>
      <c r="CL263" s="42"/>
      <c r="CM263" s="42"/>
      <c r="CN263" s="42"/>
      <c r="CO263" s="42"/>
      <c r="CP263" s="42"/>
      <c r="CQ263" s="42"/>
      <c r="CR263" s="42"/>
      <c r="CS263" s="42"/>
      <c r="CT263" s="42"/>
      <c r="CU263" s="42"/>
      <c r="CV263" s="42"/>
      <c r="CW263" s="42"/>
      <c r="CX263" s="42"/>
      <c r="CY263" s="42"/>
      <c r="CZ263" s="42"/>
      <c r="DA263" s="42"/>
      <c r="DB263" s="42"/>
      <c r="DC263" s="42"/>
      <c r="DD263" s="42"/>
      <c r="DE263" s="42"/>
      <c r="DF263" s="42">
        <v>261</v>
      </c>
      <c r="DG263" s="46">
        <v>130.5</v>
      </c>
      <c r="DH263" s="53" t="s">
        <v>0</v>
      </c>
    </row>
    <row r="264" spans="1:112" s="13" customFormat="1" ht="39.950000000000003" hidden="1" customHeight="1" x14ac:dyDescent="0.25">
      <c r="A264" s="2"/>
      <c r="B264" s="2"/>
      <c r="C264" s="2"/>
      <c r="D264" s="2"/>
      <c r="E264" s="2"/>
      <c r="F264" s="2"/>
      <c r="G264" s="2"/>
      <c r="H264" s="2"/>
      <c r="I264" s="2"/>
      <c r="J264" s="2"/>
      <c r="K264" s="2"/>
      <c r="L264" s="2"/>
      <c r="M264" s="2"/>
      <c r="N264" s="2"/>
      <c r="O264" s="22"/>
      <c r="P264" s="22"/>
      <c r="Q264" s="22"/>
      <c r="R264" s="1"/>
      <c r="S264" s="2"/>
      <c r="T264" s="28"/>
      <c r="U264" s="28"/>
      <c r="V264" s="1"/>
      <c r="W264" s="1"/>
      <c r="X264" s="1"/>
      <c r="Y264" s="1"/>
      <c r="Z264" s="1"/>
      <c r="AA264" s="42"/>
      <c r="AB264" s="42"/>
      <c r="AC264" s="42"/>
      <c r="AD264" s="42"/>
      <c r="AE264" s="42"/>
      <c r="AF264" s="42"/>
      <c r="AG264" s="42"/>
      <c r="AH264" s="42"/>
      <c r="AI264" s="42"/>
      <c r="AJ264" s="42"/>
      <c r="AK264" s="42"/>
      <c r="AL264" s="42"/>
      <c r="AM264" s="42"/>
      <c r="AN264" s="42"/>
      <c r="AO264" s="42"/>
      <c r="AP264" s="42"/>
      <c r="AQ264" s="42"/>
      <c r="AR264" s="42"/>
      <c r="AS264" s="42"/>
      <c r="AT264" s="42"/>
      <c r="AU264" s="42"/>
      <c r="AV264" s="42"/>
      <c r="AW264" s="42"/>
      <c r="AX264" s="42"/>
      <c r="AY264" s="42"/>
      <c r="AZ264" s="42"/>
      <c r="BA264" s="42"/>
      <c r="BB264" s="42"/>
      <c r="BC264" s="42"/>
      <c r="BD264" s="42"/>
      <c r="BE264" s="42"/>
      <c r="BF264" s="42"/>
      <c r="BG264" s="42"/>
      <c r="BH264" s="42"/>
      <c r="BI264" s="42"/>
      <c r="BJ264" s="42"/>
      <c r="BK264" s="42"/>
      <c r="BL264" s="42"/>
      <c r="BM264" s="42"/>
      <c r="BN264" s="42"/>
      <c r="BO264" s="42"/>
      <c r="BP264" s="42"/>
      <c r="BQ264" s="42"/>
      <c r="BR264" s="42"/>
      <c r="BS264" s="42"/>
      <c r="BT264" s="42"/>
      <c r="BU264" s="42"/>
      <c r="BV264" s="42"/>
      <c r="BW264" s="42"/>
      <c r="BX264" s="42"/>
      <c r="BY264" s="42"/>
      <c r="BZ264" s="42"/>
      <c r="CA264" s="42"/>
      <c r="CB264" s="42"/>
      <c r="CC264" s="42"/>
      <c r="CD264" s="42"/>
      <c r="CE264" s="42"/>
      <c r="CF264" s="42"/>
      <c r="CG264" s="42"/>
      <c r="CH264" s="42"/>
      <c r="CI264" s="42"/>
      <c r="CJ264" s="42"/>
      <c r="CK264" s="42"/>
      <c r="CL264" s="42"/>
      <c r="CM264" s="42"/>
      <c r="CN264" s="42"/>
      <c r="CO264" s="42"/>
      <c r="CP264" s="42"/>
      <c r="CQ264" s="42"/>
      <c r="CR264" s="42"/>
      <c r="CS264" s="42"/>
      <c r="CT264" s="42"/>
      <c r="CU264" s="42"/>
      <c r="CV264" s="42"/>
      <c r="CW264" s="42"/>
      <c r="CX264" s="42"/>
      <c r="CY264" s="42"/>
      <c r="CZ264" s="42"/>
      <c r="DA264" s="42"/>
      <c r="DB264" s="42"/>
      <c r="DC264" s="42"/>
      <c r="DD264" s="42"/>
      <c r="DE264" s="42"/>
      <c r="DF264" s="42">
        <v>262</v>
      </c>
      <c r="DG264" s="46">
        <v>131</v>
      </c>
      <c r="DH264" s="53" t="s">
        <v>0</v>
      </c>
    </row>
    <row r="265" spans="1:112" s="13" customFormat="1" ht="39.950000000000003" hidden="1" customHeight="1" x14ac:dyDescent="0.25">
      <c r="A265" s="2"/>
      <c r="B265" s="2"/>
      <c r="C265" s="2"/>
      <c r="D265" s="2"/>
      <c r="E265" s="2"/>
      <c r="F265" s="2"/>
      <c r="G265" s="2"/>
      <c r="H265" s="2"/>
      <c r="I265" s="2"/>
      <c r="J265" s="2"/>
      <c r="K265" s="2"/>
      <c r="L265" s="2"/>
      <c r="M265" s="2"/>
      <c r="N265" s="2"/>
      <c r="O265" s="22"/>
      <c r="P265" s="22"/>
      <c r="Q265" s="22"/>
      <c r="R265" s="1"/>
      <c r="S265" s="2"/>
      <c r="T265" s="28"/>
      <c r="U265" s="28"/>
      <c r="V265" s="1"/>
      <c r="W265" s="1"/>
      <c r="X265" s="1"/>
      <c r="Y265" s="1"/>
      <c r="Z265" s="1"/>
      <c r="AA265" s="42"/>
      <c r="AB265" s="42"/>
      <c r="AC265" s="42"/>
      <c r="AD265" s="42"/>
      <c r="AE265" s="42"/>
      <c r="AF265" s="42"/>
      <c r="AG265" s="42"/>
      <c r="AH265" s="42"/>
      <c r="AI265" s="42"/>
      <c r="AJ265" s="42"/>
      <c r="AK265" s="42"/>
      <c r="AL265" s="42"/>
      <c r="AM265" s="42"/>
      <c r="AN265" s="42"/>
      <c r="AO265" s="42"/>
      <c r="AP265" s="42"/>
      <c r="AQ265" s="42"/>
      <c r="AR265" s="42"/>
      <c r="AS265" s="42"/>
      <c r="AT265" s="42"/>
      <c r="AU265" s="42"/>
      <c r="AV265" s="42"/>
      <c r="AW265" s="42"/>
      <c r="AX265" s="42"/>
      <c r="AY265" s="42"/>
      <c r="AZ265" s="42"/>
      <c r="BA265" s="42"/>
      <c r="BB265" s="42"/>
      <c r="BC265" s="42"/>
      <c r="BD265" s="42"/>
      <c r="BE265" s="42"/>
      <c r="BF265" s="42"/>
      <c r="BG265" s="42"/>
      <c r="BH265" s="42"/>
      <c r="BI265" s="42"/>
      <c r="BJ265" s="42"/>
      <c r="BK265" s="42"/>
      <c r="BL265" s="42"/>
      <c r="BM265" s="42"/>
      <c r="BN265" s="42"/>
      <c r="BO265" s="42"/>
      <c r="BP265" s="42"/>
      <c r="BQ265" s="42"/>
      <c r="BR265" s="42"/>
      <c r="BS265" s="42"/>
      <c r="BT265" s="42"/>
      <c r="BU265" s="42"/>
      <c r="BV265" s="42"/>
      <c r="BW265" s="42"/>
      <c r="BX265" s="42"/>
      <c r="BY265" s="42"/>
      <c r="BZ265" s="42"/>
      <c r="CA265" s="42"/>
      <c r="CB265" s="42"/>
      <c r="CC265" s="42"/>
      <c r="CD265" s="42"/>
      <c r="CE265" s="42"/>
      <c r="CF265" s="42"/>
      <c r="CG265" s="42"/>
      <c r="CH265" s="42"/>
      <c r="CI265" s="42"/>
      <c r="CJ265" s="42"/>
      <c r="CK265" s="42"/>
      <c r="CL265" s="42"/>
      <c r="CM265" s="42"/>
      <c r="CN265" s="42"/>
      <c r="CO265" s="42"/>
      <c r="CP265" s="42"/>
      <c r="CQ265" s="42"/>
      <c r="CR265" s="42"/>
      <c r="CS265" s="42"/>
      <c r="CT265" s="42"/>
      <c r="CU265" s="42"/>
      <c r="CV265" s="42"/>
      <c r="CW265" s="42"/>
      <c r="CX265" s="42"/>
      <c r="CY265" s="42"/>
      <c r="CZ265" s="42"/>
      <c r="DA265" s="42"/>
      <c r="DB265" s="42"/>
      <c r="DC265" s="42"/>
      <c r="DD265" s="42"/>
      <c r="DE265" s="42"/>
      <c r="DF265" s="42">
        <v>263</v>
      </c>
      <c r="DG265" s="46">
        <v>131.5</v>
      </c>
      <c r="DH265" s="53" t="s">
        <v>0</v>
      </c>
    </row>
    <row r="266" spans="1:112" s="13" customFormat="1" ht="39.950000000000003" hidden="1" customHeight="1" x14ac:dyDescent="0.25">
      <c r="A266" s="2"/>
      <c r="B266" s="2"/>
      <c r="C266" s="2"/>
      <c r="D266" s="2"/>
      <c r="E266" s="2"/>
      <c r="F266" s="2"/>
      <c r="G266" s="2"/>
      <c r="H266" s="2"/>
      <c r="I266" s="2"/>
      <c r="J266" s="2"/>
      <c r="K266" s="2"/>
      <c r="L266" s="2"/>
      <c r="M266" s="2"/>
      <c r="N266" s="2"/>
      <c r="O266" s="22"/>
      <c r="P266" s="22"/>
      <c r="Q266" s="22"/>
      <c r="R266" s="1"/>
      <c r="S266" s="2"/>
      <c r="T266" s="28"/>
      <c r="U266" s="28"/>
      <c r="V266" s="1"/>
      <c r="W266" s="1"/>
      <c r="X266" s="1"/>
      <c r="Y266" s="1"/>
      <c r="Z266" s="1"/>
      <c r="AA266" s="42"/>
      <c r="AB266" s="42"/>
      <c r="AC266" s="42"/>
      <c r="AD266" s="42"/>
      <c r="AE266" s="42"/>
      <c r="AF266" s="42"/>
      <c r="AG266" s="42"/>
      <c r="AH266" s="42"/>
      <c r="AI266" s="42"/>
      <c r="AJ266" s="42"/>
      <c r="AK266" s="42"/>
      <c r="AL266" s="42"/>
      <c r="AM266" s="42"/>
      <c r="AN266" s="42"/>
      <c r="AO266" s="42"/>
      <c r="AP266" s="42"/>
      <c r="AQ266" s="42"/>
      <c r="AR266" s="42"/>
      <c r="AS266" s="42"/>
      <c r="AT266" s="42"/>
      <c r="AU266" s="42"/>
      <c r="AV266" s="42"/>
      <c r="AW266" s="42"/>
      <c r="AX266" s="42"/>
      <c r="AY266" s="42"/>
      <c r="AZ266" s="42"/>
      <c r="BA266" s="42"/>
      <c r="BB266" s="42"/>
      <c r="BC266" s="42"/>
      <c r="BD266" s="42"/>
      <c r="BE266" s="42"/>
      <c r="BF266" s="42"/>
      <c r="BG266" s="42"/>
      <c r="BH266" s="42"/>
      <c r="BI266" s="42"/>
      <c r="BJ266" s="42"/>
      <c r="BK266" s="42"/>
      <c r="BL266" s="42"/>
      <c r="BM266" s="42"/>
      <c r="BN266" s="42"/>
      <c r="BO266" s="42"/>
      <c r="BP266" s="42"/>
      <c r="BQ266" s="42"/>
      <c r="BR266" s="42"/>
      <c r="BS266" s="42"/>
      <c r="BT266" s="42"/>
      <c r="BU266" s="42"/>
      <c r="BV266" s="42"/>
      <c r="BW266" s="42"/>
      <c r="BX266" s="42"/>
      <c r="BY266" s="42"/>
      <c r="BZ266" s="42"/>
      <c r="CA266" s="42"/>
      <c r="CB266" s="42"/>
      <c r="CC266" s="42"/>
      <c r="CD266" s="42"/>
      <c r="CE266" s="42"/>
      <c r="CF266" s="42"/>
      <c r="CG266" s="42"/>
      <c r="CH266" s="42"/>
      <c r="CI266" s="42"/>
      <c r="CJ266" s="42"/>
      <c r="CK266" s="42"/>
      <c r="CL266" s="42"/>
      <c r="CM266" s="42"/>
      <c r="CN266" s="42"/>
      <c r="CO266" s="42"/>
      <c r="CP266" s="42"/>
      <c r="CQ266" s="42"/>
      <c r="CR266" s="42"/>
      <c r="CS266" s="42"/>
      <c r="CT266" s="42"/>
      <c r="CU266" s="42"/>
      <c r="CV266" s="42"/>
      <c r="CW266" s="42"/>
      <c r="CX266" s="42"/>
      <c r="CY266" s="42"/>
      <c r="CZ266" s="42"/>
      <c r="DA266" s="42"/>
      <c r="DB266" s="42"/>
      <c r="DC266" s="42"/>
      <c r="DD266" s="42"/>
      <c r="DE266" s="42"/>
      <c r="DF266" s="42">
        <v>264</v>
      </c>
      <c r="DG266" s="46">
        <v>132</v>
      </c>
      <c r="DH266" s="53" t="s">
        <v>0</v>
      </c>
    </row>
    <row r="267" spans="1:112" s="13" customFormat="1" ht="39.950000000000003" hidden="1" customHeight="1" x14ac:dyDescent="0.25">
      <c r="A267" s="2"/>
      <c r="B267" s="2"/>
      <c r="C267" s="2"/>
      <c r="D267" s="2"/>
      <c r="E267" s="2"/>
      <c r="F267" s="2"/>
      <c r="G267" s="2"/>
      <c r="H267" s="2"/>
      <c r="I267" s="2"/>
      <c r="J267" s="2"/>
      <c r="K267" s="2"/>
      <c r="L267" s="2"/>
      <c r="M267" s="2"/>
      <c r="N267" s="2"/>
      <c r="O267" s="22"/>
      <c r="P267" s="22"/>
      <c r="Q267" s="22"/>
      <c r="R267" s="1"/>
      <c r="S267" s="2"/>
      <c r="T267" s="28"/>
      <c r="U267" s="28"/>
      <c r="V267" s="1"/>
      <c r="W267" s="1"/>
      <c r="X267" s="1"/>
      <c r="Y267" s="1"/>
      <c r="Z267" s="1"/>
      <c r="AA267" s="42"/>
      <c r="AB267" s="42"/>
      <c r="AC267" s="42"/>
      <c r="AD267" s="42"/>
      <c r="AE267" s="42"/>
      <c r="AF267" s="42"/>
      <c r="AG267" s="42"/>
      <c r="AH267" s="42"/>
      <c r="AI267" s="42"/>
      <c r="AJ267" s="42"/>
      <c r="AK267" s="42"/>
      <c r="AL267" s="42"/>
      <c r="AM267" s="42"/>
      <c r="AN267" s="42"/>
      <c r="AO267" s="42"/>
      <c r="AP267" s="42"/>
      <c r="AQ267" s="42"/>
      <c r="AR267" s="42"/>
      <c r="AS267" s="42"/>
      <c r="AT267" s="42"/>
      <c r="AU267" s="42"/>
      <c r="AV267" s="42"/>
      <c r="AW267" s="42"/>
      <c r="AX267" s="42"/>
      <c r="AY267" s="42"/>
      <c r="AZ267" s="42"/>
      <c r="BA267" s="42"/>
      <c r="BB267" s="42"/>
      <c r="BC267" s="42"/>
      <c r="BD267" s="42"/>
      <c r="BE267" s="42"/>
      <c r="BF267" s="42"/>
      <c r="BG267" s="42"/>
      <c r="BH267" s="42"/>
      <c r="BI267" s="42"/>
      <c r="BJ267" s="42"/>
      <c r="BK267" s="42"/>
      <c r="BL267" s="42"/>
      <c r="BM267" s="42"/>
      <c r="BN267" s="42"/>
      <c r="BO267" s="42"/>
      <c r="BP267" s="42"/>
      <c r="BQ267" s="42"/>
      <c r="BR267" s="42"/>
      <c r="BS267" s="42"/>
      <c r="BT267" s="42"/>
      <c r="BU267" s="42"/>
      <c r="BV267" s="42"/>
      <c r="BW267" s="42"/>
      <c r="BX267" s="42"/>
      <c r="BY267" s="42"/>
      <c r="BZ267" s="42"/>
      <c r="CA267" s="42"/>
      <c r="CB267" s="42"/>
      <c r="CC267" s="42"/>
      <c r="CD267" s="42"/>
      <c r="CE267" s="42"/>
      <c r="CF267" s="42"/>
      <c r="CG267" s="42"/>
      <c r="CH267" s="42"/>
      <c r="CI267" s="42"/>
      <c r="CJ267" s="42"/>
      <c r="CK267" s="42"/>
      <c r="CL267" s="42"/>
      <c r="CM267" s="42"/>
      <c r="CN267" s="42"/>
      <c r="CO267" s="42"/>
      <c r="CP267" s="42"/>
      <c r="CQ267" s="42"/>
      <c r="CR267" s="42"/>
      <c r="CS267" s="42"/>
      <c r="CT267" s="42"/>
      <c r="CU267" s="42"/>
      <c r="CV267" s="42"/>
      <c r="CW267" s="42"/>
      <c r="CX267" s="42"/>
      <c r="CY267" s="42"/>
      <c r="CZ267" s="42"/>
      <c r="DA267" s="42"/>
      <c r="DB267" s="42"/>
      <c r="DC267" s="42"/>
      <c r="DD267" s="42"/>
      <c r="DE267" s="42"/>
      <c r="DF267" s="42">
        <v>265</v>
      </c>
      <c r="DG267" s="46">
        <v>132.5</v>
      </c>
      <c r="DH267" s="53" t="s">
        <v>0</v>
      </c>
    </row>
    <row r="268" spans="1:112" s="13" customFormat="1" ht="39.950000000000003" hidden="1" customHeight="1" x14ac:dyDescent="0.25">
      <c r="A268" s="2"/>
      <c r="B268" s="2"/>
      <c r="C268" s="2"/>
      <c r="D268" s="2"/>
      <c r="E268" s="2"/>
      <c r="F268" s="2"/>
      <c r="G268" s="2"/>
      <c r="H268" s="2"/>
      <c r="I268" s="2"/>
      <c r="J268" s="2"/>
      <c r="K268" s="2"/>
      <c r="L268" s="2"/>
      <c r="M268" s="2"/>
      <c r="N268" s="2"/>
      <c r="O268" s="22"/>
      <c r="P268" s="22"/>
      <c r="Q268" s="22"/>
      <c r="R268" s="1"/>
      <c r="S268" s="2"/>
      <c r="T268" s="28"/>
      <c r="U268" s="28"/>
      <c r="V268" s="1"/>
      <c r="W268" s="1"/>
      <c r="X268" s="1"/>
      <c r="Y268" s="1"/>
      <c r="Z268" s="1"/>
      <c r="AA268" s="42"/>
      <c r="AB268" s="42"/>
      <c r="AC268" s="42"/>
      <c r="AD268" s="42"/>
      <c r="AE268" s="42"/>
      <c r="AF268" s="42"/>
      <c r="AG268" s="42"/>
      <c r="AH268" s="42"/>
      <c r="AI268" s="42"/>
      <c r="AJ268" s="42"/>
      <c r="AK268" s="42"/>
      <c r="AL268" s="42"/>
      <c r="AM268" s="42"/>
      <c r="AN268" s="42"/>
      <c r="AO268" s="42"/>
      <c r="AP268" s="42"/>
      <c r="AQ268" s="42"/>
      <c r="AR268" s="42"/>
      <c r="AS268" s="42"/>
      <c r="AT268" s="42"/>
      <c r="AU268" s="42"/>
      <c r="AV268" s="42"/>
      <c r="AW268" s="42"/>
      <c r="AX268" s="42"/>
      <c r="AY268" s="42"/>
      <c r="AZ268" s="42"/>
      <c r="BA268" s="42"/>
      <c r="BB268" s="42"/>
      <c r="BC268" s="42"/>
      <c r="BD268" s="42"/>
      <c r="BE268" s="42"/>
      <c r="BF268" s="42"/>
      <c r="BG268" s="42"/>
      <c r="BH268" s="42"/>
      <c r="BI268" s="42"/>
      <c r="BJ268" s="42"/>
      <c r="BK268" s="42"/>
      <c r="BL268" s="42"/>
      <c r="BM268" s="42"/>
      <c r="BN268" s="42"/>
      <c r="BO268" s="42"/>
      <c r="BP268" s="42"/>
      <c r="BQ268" s="42"/>
      <c r="BR268" s="42"/>
      <c r="BS268" s="42"/>
      <c r="BT268" s="42"/>
      <c r="BU268" s="42"/>
      <c r="BV268" s="42"/>
      <c r="BW268" s="42"/>
      <c r="BX268" s="42"/>
      <c r="BY268" s="42"/>
      <c r="BZ268" s="42"/>
      <c r="CA268" s="42"/>
      <c r="CB268" s="42"/>
      <c r="CC268" s="42"/>
      <c r="CD268" s="42"/>
      <c r="CE268" s="42"/>
      <c r="CF268" s="42"/>
      <c r="CG268" s="42"/>
      <c r="CH268" s="42"/>
      <c r="CI268" s="42"/>
      <c r="CJ268" s="42"/>
      <c r="CK268" s="42"/>
      <c r="CL268" s="42"/>
      <c r="CM268" s="42"/>
      <c r="CN268" s="42"/>
      <c r="CO268" s="42"/>
      <c r="CP268" s="42"/>
      <c r="CQ268" s="42"/>
      <c r="CR268" s="42"/>
      <c r="CS268" s="42"/>
      <c r="CT268" s="42"/>
      <c r="CU268" s="42"/>
      <c r="CV268" s="42"/>
      <c r="CW268" s="42"/>
      <c r="CX268" s="42"/>
      <c r="CY268" s="42"/>
      <c r="CZ268" s="42"/>
      <c r="DA268" s="42"/>
      <c r="DB268" s="42"/>
      <c r="DC268" s="42"/>
      <c r="DD268" s="42"/>
      <c r="DE268" s="42"/>
      <c r="DF268" s="42">
        <v>266</v>
      </c>
      <c r="DG268" s="46">
        <v>133</v>
      </c>
      <c r="DH268" s="53" t="s">
        <v>0</v>
      </c>
    </row>
    <row r="269" spans="1:112" s="13" customFormat="1" ht="39.950000000000003" hidden="1" customHeight="1" x14ac:dyDescent="0.25">
      <c r="A269" s="2"/>
      <c r="B269" s="2"/>
      <c r="C269" s="2"/>
      <c r="D269" s="2"/>
      <c r="E269" s="2"/>
      <c r="F269" s="2"/>
      <c r="G269" s="2"/>
      <c r="H269" s="2"/>
      <c r="I269" s="2"/>
      <c r="J269" s="2"/>
      <c r="K269" s="2"/>
      <c r="L269" s="2"/>
      <c r="M269" s="2"/>
      <c r="N269" s="2"/>
      <c r="O269" s="22"/>
      <c r="P269" s="22"/>
      <c r="Q269" s="22"/>
      <c r="R269" s="1"/>
      <c r="S269" s="2"/>
      <c r="T269" s="28"/>
      <c r="U269" s="28"/>
      <c r="V269" s="1"/>
      <c r="W269" s="1"/>
      <c r="X269" s="1"/>
      <c r="Y269" s="1"/>
      <c r="Z269" s="1"/>
      <c r="AA269" s="42"/>
      <c r="AB269" s="42"/>
      <c r="AC269" s="42"/>
      <c r="AD269" s="42"/>
      <c r="AE269" s="42"/>
      <c r="AF269" s="42"/>
      <c r="AG269" s="42"/>
      <c r="AH269" s="42"/>
      <c r="AI269" s="42"/>
      <c r="AJ269" s="42"/>
      <c r="AK269" s="42"/>
      <c r="AL269" s="42"/>
      <c r="AM269" s="42"/>
      <c r="AN269" s="42"/>
      <c r="AO269" s="42"/>
      <c r="AP269" s="42"/>
      <c r="AQ269" s="42"/>
      <c r="AR269" s="42"/>
      <c r="AS269" s="42"/>
      <c r="AT269" s="42"/>
      <c r="AU269" s="42"/>
      <c r="AV269" s="42"/>
      <c r="AW269" s="42"/>
      <c r="AX269" s="42"/>
      <c r="AY269" s="42"/>
      <c r="AZ269" s="42"/>
      <c r="BA269" s="42"/>
      <c r="BB269" s="42"/>
      <c r="BC269" s="42"/>
      <c r="BD269" s="42"/>
      <c r="BE269" s="42"/>
      <c r="BF269" s="42"/>
      <c r="BG269" s="42"/>
      <c r="BH269" s="42"/>
      <c r="BI269" s="42"/>
      <c r="BJ269" s="42"/>
      <c r="BK269" s="42"/>
      <c r="BL269" s="42"/>
      <c r="BM269" s="42"/>
      <c r="BN269" s="42"/>
      <c r="BO269" s="42"/>
      <c r="BP269" s="42"/>
      <c r="BQ269" s="42"/>
      <c r="BR269" s="42"/>
      <c r="BS269" s="42"/>
      <c r="BT269" s="42"/>
      <c r="BU269" s="42"/>
      <c r="BV269" s="42"/>
      <c r="BW269" s="42"/>
      <c r="BX269" s="42"/>
      <c r="BY269" s="42"/>
      <c r="BZ269" s="42"/>
      <c r="CA269" s="42"/>
      <c r="CB269" s="42"/>
      <c r="CC269" s="42"/>
      <c r="CD269" s="42"/>
      <c r="CE269" s="42"/>
      <c r="CF269" s="42"/>
      <c r="CG269" s="42"/>
      <c r="CH269" s="42"/>
      <c r="CI269" s="42"/>
      <c r="CJ269" s="42"/>
      <c r="CK269" s="42"/>
      <c r="CL269" s="42"/>
      <c r="CM269" s="42"/>
      <c r="CN269" s="42"/>
      <c r="CO269" s="42"/>
      <c r="CP269" s="42"/>
      <c r="CQ269" s="42"/>
      <c r="CR269" s="42"/>
      <c r="CS269" s="42"/>
      <c r="CT269" s="42"/>
      <c r="CU269" s="42"/>
      <c r="CV269" s="42"/>
      <c r="CW269" s="42"/>
      <c r="CX269" s="42"/>
      <c r="CY269" s="42"/>
      <c r="CZ269" s="42"/>
      <c r="DA269" s="42"/>
      <c r="DB269" s="42"/>
      <c r="DC269" s="42"/>
      <c r="DD269" s="42"/>
      <c r="DE269" s="42"/>
      <c r="DF269" s="42">
        <v>267</v>
      </c>
      <c r="DG269" s="46">
        <v>133.5</v>
      </c>
      <c r="DH269" s="53" t="s">
        <v>0</v>
      </c>
    </row>
    <row r="270" spans="1:112" ht="39.950000000000003" hidden="1" customHeight="1" x14ac:dyDescent="0.25">
      <c r="DF270" s="42">
        <v>268</v>
      </c>
      <c r="DG270" s="46">
        <v>134</v>
      </c>
      <c r="DH270" s="53" t="s">
        <v>0</v>
      </c>
    </row>
    <row r="271" spans="1:112" ht="39.950000000000003" hidden="1" customHeight="1" x14ac:dyDescent="0.25">
      <c r="DF271" s="42">
        <v>269</v>
      </c>
      <c r="DG271" s="46">
        <v>134.5</v>
      </c>
      <c r="DH271" s="53" t="s">
        <v>0</v>
      </c>
    </row>
    <row r="272" spans="1:112" ht="39.950000000000003" hidden="1" customHeight="1" x14ac:dyDescent="0.25">
      <c r="DF272" s="42">
        <v>270</v>
      </c>
      <c r="DG272" s="46">
        <v>135</v>
      </c>
      <c r="DH272" s="53" t="s">
        <v>0</v>
      </c>
    </row>
    <row r="273" spans="110:112" ht="39.950000000000003" hidden="1" customHeight="1" x14ac:dyDescent="0.25">
      <c r="DF273" s="42">
        <v>271</v>
      </c>
      <c r="DG273" s="46">
        <v>135.5</v>
      </c>
      <c r="DH273" s="53" t="s">
        <v>0</v>
      </c>
    </row>
    <row r="274" spans="110:112" ht="39.950000000000003" hidden="1" customHeight="1" x14ac:dyDescent="0.25">
      <c r="DF274" s="42">
        <v>272</v>
      </c>
      <c r="DG274" s="46">
        <v>136</v>
      </c>
      <c r="DH274" s="53" t="s">
        <v>0</v>
      </c>
    </row>
    <row r="275" spans="110:112" ht="39.950000000000003" hidden="1" customHeight="1" x14ac:dyDescent="0.25">
      <c r="DF275" s="42">
        <v>273</v>
      </c>
      <c r="DG275" s="46">
        <v>136.5</v>
      </c>
      <c r="DH275" s="53" t="s">
        <v>0</v>
      </c>
    </row>
    <row r="276" spans="110:112" ht="39.950000000000003" hidden="1" customHeight="1" x14ac:dyDescent="0.25">
      <c r="DF276" s="42">
        <v>274</v>
      </c>
      <c r="DG276" s="46">
        <v>137</v>
      </c>
      <c r="DH276" s="53" t="s">
        <v>0</v>
      </c>
    </row>
    <row r="277" spans="110:112" ht="39.950000000000003" hidden="1" customHeight="1" x14ac:dyDescent="0.25">
      <c r="DF277" s="42">
        <v>275</v>
      </c>
      <c r="DG277" s="46">
        <v>137.5</v>
      </c>
      <c r="DH277" s="53" t="s">
        <v>0</v>
      </c>
    </row>
    <row r="278" spans="110:112" ht="39.950000000000003" hidden="1" customHeight="1" x14ac:dyDescent="0.25">
      <c r="DF278" s="42">
        <v>276</v>
      </c>
      <c r="DG278" s="46">
        <v>138</v>
      </c>
      <c r="DH278" s="53" t="s">
        <v>0</v>
      </c>
    </row>
    <row r="279" spans="110:112" ht="39.950000000000003" hidden="1" customHeight="1" x14ac:dyDescent="0.25">
      <c r="DF279" s="42">
        <v>277</v>
      </c>
      <c r="DG279" s="46">
        <v>138.5</v>
      </c>
      <c r="DH279" s="53" t="s">
        <v>0</v>
      </c>
    </row>
    <row r="280" spans="110:112" ht="39.950000000000003" hidden="1" customHeight="1" x14ac:dyDescent="0.25">
      <c r="DF280" s="42">
        <v>278</v>
      </c>
      <c r="DG280" s="46">
        <v>139</v>
      </c>
      <c r="DH280" s="53" t="s">
        <v>0</v>
      </c>
    </row>
    <row r="281" spans="110:112" ht="39.950000000000003" hidden="1" customHeight="1" x14ac:dyDescent="0.25">
      <c r="DF281" s="42">
        <v>279</v>
      </c>
      <c r="DG281" s="46">
        <v>139.5</v>
      </c>
      <c r="DH281" s="53" t="s">
        <v>0</v>
      </c>
    </row>
    <row r="282" spans="110:112" ht="39.950000000000003" hidden="1" customHeight="1" x14ac:dyDescent="0.25">
      <c r="DF282" s="42">
        <v>280</v>
      </c>
      <c r="DG282" s="46">
        <v>140</v>
      </c>
      <c r="DH282" s="53" t="s">
        <v>0</v>
      </c>
    </row>
    <row r="283" spans="110:112" ht="39.950000000000003" hidden="1" customHeight="1" x14ac:dyDescent="0.25">
      <c r="DF283" s="42">
        <v>281</v>
      </c>
      <c r="DG283" s="46">
        <v>140.5</v>
      </c>
      <c r="DH283" s="53" t="s">
        <v>0</v>
      </c>
    </row>
    <row r="284" spans="110:112" ht="39.950000000000003" hidden="1" customHeight="1" x14ac:dyDescent="0.25">
      <c r="DF284" s="42">
        <v>282</v>
      </c>
      <c r="DG284" s="46">
        <v>141</v>
      </c>
      <c r="DH284" s="53" t="s">
        <v>0</v>
      </c>
    </row>
    <row r="285" spans="110:112" ht="39.950000000000003" hidden="1" customHeight="1" x14ac:dyDescent="0.25">
      <c r="DF285" s="42">
        <v>283</v>
      </c>
      <c r="DG285" s="46">
        <v>141.5</v>
      </c>
      <c r="DH285" s="53" t="s">
        <v>0</v>
      </c>
    </row>
    <row r="286" spans="110:112" ht="39.950000000000003" hidden="1" customHeight="1" x14ac:dyDescent="0.25">
      <c r="DF286" s="42">
        <v>284</v>
      </c>
      <c r="DG286" s="46">
        <v>142</v>
      </c>
      <c r="DH286" s="53" t="s">
        <v>0</v>
      </c>
    </row>
    <row r="287" spans="110:112" ht="39.950000000000003" hidden="1" customHeight="1" x14ac:dyDescent="0.25">
      <c r="DF287" s="42">
        <v>285</v>
      </c>
      <c r="DG287" s="46">
        <v>142.5</v>
      </c>
      <c r="DH287" s="53" t="s">
        <v>0</v>
      </c>
    </row>
    <row r="288" spans="110:112" ht="39.950000000000003" hidden="1" customHeight="1" x14ac:dyDescent="0.25">
      <c r="DF288" s="42">
        <v>286</v>
      </c>
      <c r="DG288" s="46">
        <v>143</v>
      </c>
      <c r="DH288" s="53" t="s">
        <v>0</v>
      </c>
    </row>
    <row r="289" spans="110:112" ht="39.950000000000003" hidden="1" customHeight="1" x14ac:dyDescent="0.25">
      <c r="DF289" s="42">
        <v>287</v>
      </c>
      <c r="DG289" s="46">
        <v>143.5</v>
      </c>
      <c r="DH289" s="53" t="s">
        <v>0</v>
      </c>
    </row>
    <row r="290" spans="110:112" ht="39.950000000000003" hidden="1" customHeight="1" x14ac:dyDescent="0.25">
      <c r="DF290" s="42">
        <v>288</v>
      </c>
      <c r="DG290" s="46">
        <v>144</v>
      </c>
      <c r="DH290" s="53" t="s">
        <v>0</v>
      </c>
    </row>
    <row r="291" spans="110:112" ht="39.950000000000003" hidden="1" customHeight="1" x14ac:dyDescent="0.25">
      <c r="DF291" s="42">
        <v>289</v>
      </c>
      <c r="DG291" s="46">
        <v>144.5</v>
      </c>
      <c r="DH291" s="53" t="s">
        <v>0</v>
      </c>
    </row>
    <row r="292" spans="110:112" ht="39.950000000000003" hidden="1" customHeight="1" x14ac:dyDescent="0.25">
      <c r="DF292" s="42">
        <v>290</v>
      </c>
      <c r="DG292" s="46">
        <v>145</v>
      </c>
      <c r="DH292" s="53" t="s">
        <v>0</v>
      </c>
    </row>
    <row r="293" spans="110:112" ht="39.950000000000003" hidden="1" customHeight="1" x14ac:dyDescent="0.25">
      <c r="DF293" s="42">
        <v>291</v>
      </c>
      <c r="DG293" s="46">
        <v>145.5</v>
      </c>
      <c r="DH293" s="53" t="s">
        <v>0</v>
      </c>
    </row>
    <row r="294" spans="110:112" ht="39.950000000000003" hidden="1" customHeight="1" x14ac:dyDescent="0.25">
      <c r="DF294" s="42">
        <v>292</v>
      </c>
      <c r="DG294" s="46">
        <v>146</v>
      </c>
      <c r="DH294" s="53" t="s">
        <v>0</v>
      </c>
    </row>
    <row r="295" spans="110:112" ht="39.950000000000003" hidden="1" customHeight="1" x14ac:dyDescent="0.25">
      <c r="DF295" s="42">
        <v>293</v>
      </c>
      <c r="DG295" s="46">
        <v>146.5</v>
      </c>
      <c r="DH295" s="53" t="s">
        <v>0</v>
      </c>
    </row>
    <row r="296" spans="110:112" ht="39.950000000000003" hidden="1" customHeight="1" x14ac:dyDescent="0.25">
      <c r="DF296" s="42">
        <v>294</v>
      </c>
      <c r="DG296" s="46">
        <v>147</v>
      </c>
      <c r="DH296" s="53" t="s">
        <v>0</v>
      </c>
    </row>
    <row r="297" spans="110:112" ht="39.950000000000003" hidden="1" customHeight="1" x14ac:dyDescent="0.25">
      <c r="DF297" s="42">
        <v>295</v>
      </c>
      <c r="DG297" s="46">
        <v>147.5</v>
      </c>
      <c r="DH297" s="53" t="s">
        <v>0</v>
      </c>
    </row>
    <row r="298" spans="110:112" ht="39.950000000000003" hidden="1" customHeight="1" x14ac:dyDescent="0.25">
      <c r="DF298" s="42">
        <v>296</v>
      </c>
      <c r="DG298" s="46">
        <v>148</v>
      </c>
      <c r="DH298" s="53" t="s">
        <v>0</v>
      </c>
    </row>
    <row r="299" spans="110:112" ht="39.950000000000003" hidden="1" customHeight="1" x14ac:dyDescent="0.25">
      <c r="DF299" s="42">
        <v>297</v>
      </c>
      <c r="DG299" s="46">
        <v>148.5</v>
      </c>
      <c r="DH299" s="53" t="s">
        <v>0</v>
      </c>
    </row>
    <row r="300" spans="110:112" ht="39.950000000000003" hidden="1" customHeight="1" x14ac:dyDescent="0.25">
      <c r="DF300" s="42">
        <v>298</v>
      </c>
      <c r="DG300" s="46">
        <v>149</v>
      </c>
      <c r="DH300" s="53" t="s">
        <v>0</v>
      </c>
    </row>
    <row r="301" spans="110:112" ht="39.950000000000003" hidden="1" customHeight="1" x14ac:dyDescent="0.25">
      <c r="DF301" s="42">
        <v>299</v>
      </c>
      <c r="DG301" s="46">
        <v>149.5</v>
      </c>
      <c r="DH301" s="53" t="s">
        <v>0</v>
      </c>
    </row>
    <row r="302" spans="110:112" ht="39.950000000000003" hidden="1" customHeight="1" x14ac:dyDescent="0.25">
      <c r="DF302" s="42">
        <v>300</v>
      </c>
      <c r="DG302" s="46">
        <v>150</v>
      </c>
      <c r="DH302" s="53" t="s">
        <v>0</v>
      </c>
    </row>
    <row r="303" spans="110:112" ht="39.950000000000003" hidden="1" customHeight="1" x14ac:dyDescent="0.25">
      <c r="DF303" s="42">
        <v>301</v>
      </c>
      <c r="DG303" s="46">
        <v>150.5</v>
      </c>
      <c r="DH303" s="53" t="s">
        <v>0</v>
      </c>
    </row>
    <row r="304" spans="110:112" ht="39.950000000000003" hidden="1" customHeight="1" x14ac:dyDescent="0.25">
      <c r="DF304" s="42">
        <v>302</v>
      </c>
      <c r="DG304" s="46">
        <v>151</v>
      </c>
      <c r="DH304" s="53" t="s">
        <v>0</v>
      </c>
    </row>
    <row r="305" spans="110:112" ht="39.950000000000003" hidden="1" customHeight="1" x14ac:dyDescent="0.25">
      <c r="DF305" s="42">
        <v>303</v>
      </c>
      <c r="DG305" s="46">
        <v>151.5</v>
      </c>
      <c r="DH305" s="53" t="s">
        <v>0</v>
      </c>
    </row>
    <row r="306" spans="110:112" ht="39.950000000000003" hidden="1" customHeight="1" x14ac:dyDescent="0.25">
      <c r="DF306" s="42">
        <v>304</v>
      </c>
      <c r="DG306" s="46">
        <v>152</v>
      </c>
      <c r="DH306" s="53" t="s">
        <v>0</v>
      </c>
    </row>
    <row r="307" spans="110:112" ht="39.950000000000003" hidden="1" customHeight="1" x14ac:dyDescent="0.25">
      <c r="DF307" s="42">
        <v>305</v>
      </c>
      <c r="DG307" s="46">
        <v>152.5</v>
      </c>
      <c r="DH307" s="53" t="s">
        <v>0</v>
      </c>
    </row>
    <row r="308" spans="110:112" ht="39.950000000000003" hidden="1" customHeight="1" x14ac:dyDescent="0.25">
      <c r="DF308" s="42">
        <v>306</v>
      </c>
      <c r="DG308" s="46">
        <v>153</v>
      </c>
      <c r="DH308" s="53" t="s">
        <v>0</v>
      </c>
    </row>
    <row r="309" spans="110:112" ht="39.950000000000003" hidden="1" customHeight="1" x14ac:dyDescent="0.25">
      <c r="DF309" s="42">
        <v>307</v>
      </c>
      <c r="DG309" s="46">
        <v>153.5</v>
      </c>
      <c r="DH309" s="53" t="s">
        <v>0</v>
      </c>
    </row>
    <row r="310" spans="110:112" ht="39.950000000000003" hidden="1" customHeight="1" x14ac:dyDescent="0.25">
      <c r="DF310" s="42">
        <v>308</v>
      </c>
      <c r="DG310" s="46">
        <v>154</v>
      </c>
      <c r="DH310" s="53" t="s">
        <v>0</v>
      </c>
    </row>
    <row r="311" spans="110:112" ht="39.950000000000003" hidden="1" customHeight="1" x14ac:dyDescent="0.25">
      <c r="DF311" s="42">
        <v>309</v>
      </c>
      <c r="DG311" s="46">
        <v>154.5</v>
      </c>
      <c r="DH311" s="53" t="s">
        <v>0</v>
      </c>
    </row>
    <row r="312" spans="110:112" ht="39.950000000000003" hidden="1" customHeight="1" x14ac:dyDescent="0.25">
      <c r="DF312" s="42">
        <v>310</v>
      </c>
      <c r="DG312" s="46">
        <v>155</v>
      </c>
      <c r="DH312" s="53" t="s">
        <v>0</v>
      </c>
    </row>
    <row r="313" spans="110:112" ht="39.950000000000003" hidden="1" customHeight="1" x14ac:dyDescent="0.25">
      <c r="DF313" s="42">
        <v>311</v>
      </c>
      <c r="DG313" s="46">
        <v>155.5</v>
      </c>
      <c r="DH313" s="53" t="s">
        <v>0</v>
      </c>
    </row>
    <row r="314" spans="110:112" ht="39.950000000000003" hidden="1" customHeight="1" x14ac:dyDescent="0.25">
      <c r="DF314" s="42">
        <v>312</v>
      </c>
      <c r="DG314" s="46">
        <v>156</v>
      </c>
      <c r="DH314" s="53" t="s">
        <v>0</v>
      </c>
    </row>
    <row r="315" spans="110:112" ht="39.950000000000003" hidden="1" customHeight="1" x14ac:dyDescent="0.25">
      <c r="DF315" s="42">
        <v>313</v>
      </c>
      <c r="DG315" s="46">
        <v>156.5</v>
      </c>
      <c r="DH315" s="53" t="s">
        <v>0</v>
      </c>
    </row>
    <row r="316" spans="110:112" ht="39.950000000000003" hidden="1" customHeight="1" x14ac:dyDescent="0.25">
      <c r="DF316" s="42">
        <v>314</v>
      </c>
      <c r="DG316" s="46">
        <v>157</v>
      </c>
      <c r="DH316" s="53" t="s">
        <v>0</v>
      </c>
    </row>
    <row r="317" spans="110:112" ht="39.950000000000003" hidden="1" customHeight="1" x14ac:dyDescent="0.25">
      <c r="DF317" s="42">
        <v>315</v>
      </c>
      <c r="DG317" s="46">
        <v>157.5</v>
      </c>
      <c r="DH317" s="53" t="s">
        <v>0</v>
      </c>
    </row>
    <row r="318" spans="110:112" ht="39.950000000000003" hidden="1" customHeight="1" x14ac:dyDescent="0.25">
      <c r="DF318" s="42">
        <v>316</v>
      </c>
      <c r="DG318" s="46">
        <v>158</v>
      </c>
      <c r="DH318" s="53" t="s">
        <v>0</v>
      </c>
    </row>
    <row r="319" spans="110:112" ht="39.950000000000003" hidden="1" customHeight="1" x14ac:dyDescent="0.25">
      <c r="DF319" s="42">
        <v>317</v>
      </c>
      <c r="DG319" s="46">
        <v>158.5</v>
      </c>
      <c r="DH319" s="53" t="s">
        <v>0</v>
      </c>
    </row>
    <row r="320" spans="110:112" ht="39.950000000000003" hidden="1" customHeight="1" x14ac:dyDescent="0.25">
      <c r="DF320" s="42">
        <v>318</v>
      </c>
      <c r="DG320" s="46">
        <v>159</v>
      </c>
      <c r="DH320" s="53" t="s">
        <v>0</v>
      </c>
    </row>
    <row r="321" spans="110:112" ht="39.950000000000003" hidden="1" customHeight="1" x14ac:dyDescent="0.25">
      <c r="DF321" s="42">
        <v>319</v>
      </c>
      <c r="DG321" s="46">
        <v>159.5</v>
      </c>
      <c r="DH321" s="53" t="s">
        <v>0</v>
      </c>
    </row>
    <row r="322" spans="110:112" ht="39.950000000000003" hidden="1" customHeight="1" x14ac:dyDescent="0.25">
      <c r="DF322" s="42">
        <v>320</v>
      </c>
      <c r="DG322" s="46">
        <v>160</v>
      </c>
      <c r="DH322" s="53" t="s">
        <v>0</v>
      </c>
    </row>
    <row r="323" spans="110:112" ht="39.950000000000003" hidden="1" customHeight="1" x14ac:dyDescent="0.25">
      <c r="DF323" s="42">
        <v>321</v>
      </c>
      <c r="DG323" s="46">
        <v>160.5</v>
      </c>
      <c r="DH323" s="53" t="s">
        <v>0</v>
      </c>
    </row>
    <row r="324" spans="110:112" ht="39.950000000000003" hidden="1" customHeight="1" x14ac:dyDescent="0.25">
      <c r="DF324" s="42">
        <v>322</v>
      </c>
      <c r="DG324" s="46">
        <v>161</v>
      </c>
      <c r="DH324" s="53" t="s">
        <v>0</v>
      </c>
    </row>
    <row r="325" spans="110:112" ht="39.950000000000003" hidden="1" customHeight="1" x14ac:dyDescent="0.25">
      <c r="DF325" s="42">
        <v>323</v>
      </c>
      <c r="DG325" s="46">
        <v>161.5</v>
      </c>
      <c r="DH325" s="53" t="s">
        <v>0</v>
      </c>
    </row>
    <row r="326" spans="110:112" ht="39.950000000000003" hidden="1" customHeight="1" x14ac:dyDescent="0.25">
      <c r="DF326" s="42">
        <v>324</v>
      </c>
      <c r="DG326" s="46">
        <v>162</v>
      </c>
      <c r="DH326" s="53" t="s">
        <v>0</v>
      </c>
    </row>
    <row r="327" spans="110:112" ht="39.950000000000003" hidden="1" customHeight="1" x14ac:dyDescent="0.25">
      <c r="DF327" s="42">
        <v>325</v>
      </c>
      <c r="DG327" s="46">
        <v>162.5</v>
      </c>
      <c r="DH327" s="53" t="s">
        <v>0</v>
      </c>
    </row>
    <row r="328" spans="110:112" ht="39.950000000000003" hidden="1" customHeight="1" x14ac:dyDescent="0.25">
      <c r="DF328" s="42">
        <v>326</v>
      </c>
      <c r="DG328" s="46">
        <v>163</v>
      </c>
      <c r="DH328" s="53" t="s">
        <v>0</v>
      </c>
    </row>
    <row r="329" spans="110:112" ht="39.950000000000003" hidden="1" customHeight="1" x14ac:dyDescent="0.25">
      <c r="DF329" s="42">
        <v>327</v>
      </c>
      <c r="DG329" s="46">
        <v>163.5</v>
      </c>
      <c r="DH329" s="53" t="s">
        <v>0</v>
      </c>
    </row>
    <row r="330" spans="110:112" ht="39.950000000000003" hidden="1" customHeight="1" x14ac:dyDescent="0.25">
      <c r="DF330" s="42">
        <v>328</v>
      </c>
      <c r="DG330" s="46">
        <v>164</v>
      </c>
      <c r="DH330" s="53" t="s">
        <v>0</v>
      </c>
    </row>
    <row r="331" spans="110:112" ht="39.950000000000003" hidden="1" customHeight="1" x14ac:dyDescent="0.25">
      <c r="DF331" s="42">
        <v>329</v>
      </c>
      <c r="DG331" s="46">
        <v>164.5</v>
      </c>
      <c r="DH331" s="53" t="s">
        <v>0</v>
      </c>
    </row>
    <row r="332" spans="110:112" ht="39.950000000000003" hidden="1" customHeight="1" x14ac:dyDescent="0.25">
      <c r="DF332" s="42">
        <v>330</v>
      </c>
      <c r="DG332" s="46">
        <v>165</v>
      </c>
      <c r="DH332" s="53" t="s">
        <v>0</v>
      </c>
    </row>
    <row r="333" spans="110:112" ht="39.950000000000003" hidden="1" customHeight="1" x14ac:dyDescent="0.25">
      <c r="DF333" s="42">
        <v>331</v>
      </c>
      <c r="DG333" s="46">
        <v>165.5</v>
      </c>
      <c r="DH333" s="53" t="s">
        <v>0</v>
      </c>
    </row>
    <row r="334" spans="110:112" ht="39.950000000000003" hidden="1" customHeight="1" x14ac:dyDescent="0.25">
      <c r="DF334" s="42">
        <v>332</v>
      </c>
      <c r="DG334" s="46">
        <v>166</v>
      </c>
      <c r="DH334" s="53" t="s">
        <v>0</v>
      </c>
    </row>
    <row r="335" spans="110:112" ht="39.950000000000003" hidden="1" customHeight="1" x14ac:dyDescent="0.25">
      <c r="DF335" s="42">
        <v>333</v>
      </c>
      <c r="DG335" s="46">
        <v>166.5</v>
      </c>
      <c r="DH335" s="53" t="s">
        <v>0</v>
      </c>
    </row>
    <row r="336" spans="110:112" ht="39.950000000000003" hidden="1" customHeight="1" x14ac:dyDescent="0.25">
      <c r="DF336" s="42">
        <v>334</v>
      </c>
      <c r="DG336" s="46">
        <v>167</v>
      </c>
      <c r="DH336" s="53" t="s">
        <v>0</v>
      </c>
    </row>
    <row r="337" spans="110:112" ht="39.950000000000003" hidden="1" customHeight="1" x14ac:dyDescent="0.25">
      <c r="DF337" s="42">
        <v>335</v>
      </c>
      <c r="DG337" s="46">
        <v>167.5</v>
      </c>
      <c r="DH337" s="53" t="s">
        <v>0</v>
      </c>
    </row>
    <row r="338" spans="110:112" ht="39.950000000000003" hidden="1" customHeight="1" x14ac:dyDescent="0.25">
      <c r="DF338" s="42">
        <v>336</v>
      </c>
      <c r="DG338" s="46">
        <v>168</v>
      </c>
      <c r="DH338" s="53" t="s">
        <v>0</v>
      </c>
    </row>
    <row r="339" spans="110:112" ht="39.950000000000003" hidden="1" customHeight="1" x14ac:dyDescent="0.25">
      <c r="DF339" s="42">
        <v>337</v>
      </c>
      <c r="DG339" s="46">
        <v>168.5</v>
      </c>
      <c r="DH339" s="53" t="s">
        <v>0</v>
      </c>
    </row>
    <row r="340" spans="110:112" ht="39.950000000000003" hidden="1" customHeight="1" x14ac:dyDescent="0.25">
      <c r="DF340" s="42">
        <v>338</v>
      </c>
      <c r="DG340" s="46">
        <v>169</v>
      </c>
      <c r="DH340" s="53" t="s">
        <v>0</v>
      </c>
    </row>
    <row r="341" spans="110:112" ht="39.950000000000003" hidden="1" customHeight="1" x14ac:dyDescent="0.25">
      <c r="DF341" s="42">
        <v>339</v>
      </c>
      <c r="DG341" s="46">
        <v>169.5</v>
      </c>
      <c r="DH341" s="53" t="s">
        <v>0</v>
      </c>
    </row>
    <row r="342" spans="110:112" ht="39.950000000000003" hidden="1" customHeight="1" x14ac:dyDescent="0.25">
      <c r="DF342" s="42">
        <v>340</v>
      </c>
      <c r="DG342" s="46">
        <v>170</v>
      </c>
      <c r="DH342" s="53" t="s">
        <v>0</v>
      </c>
    </row>
    <row r="343" spans="110:112" ht="39.950000000000003" hidden="1" customHeight="1" x14ac:dyDescent="0.25">
      <c r="DF343" s="42">
        <v>341</v>
      </c>
      <c r="DG343" s="46">
        <v>170.5</v>
      </c>
      <c r="DH343" s="53" t="s">
        <v>0</v>
      </c>
    </row>
    <row r="344" spans="110:112" ht="39.950000000000003" hidden="1" customHeight="1" x14ac:dyDescent="0.25">
      <c r="DF344" s="42">
        <v>342</v>
      </c>
      <c r="DG344" s="46">
        <v>171</v>
      </c>
      <c r="DH344" s="53" t="s">
        <v>0</v>
      </c>
    </row>
    <row r="345" spans="110:112" ht="39.950000000000003" hidden="1" customHeight="1" x14ac:dyDescent="0.25">
      <c r="DF345" s="42">
        <v>343</v>
      </c>
      <c r="DG345" s="46">
        <v>171.5</v>
      </c>
      <c r="DH345" s="53" t="s">
        <v>0</v>
      </c>
    </row>
    <row r="346" spans="110:112" ht="39.950000000000003" hidden="1" customHeight="1" x14ac:dyDescent="0.25">
      <c r="DF346" s="42">
        <v>344</v>
      </c>
      <c r="DG346" s="46">
        <v>172</v>
      </c>
      <c r="DH346" s="53" t="s">
        <v>0</v>
      </c>
    </row>
    <row r="347" spans="110:112" ht="39.950000000000003" hidden="1" customHeight="1" x14ac:dyDescent="0.25">
      <c r="DF347" s="42">
        <v>345</v>
      </c>
      <c r="DG347" s="46">
        <v>172.5</v>
      </c>
      <c r="DH347" s="53" t="s">
        <v>0</v>
      </c>
    </row>
    <row r="348" spans="110:112" ht="39.950000000000003" hidden="1" customHeight="1" x14ac:dyDescent="0.25">
      <c r="DF348" s="42">
        <v>346</v>
      </c>
      <c r="DG348" s="46">
        <v>173</v>
      </c>
      <c r="DH348" s="53" t="s">
        <v>0</v>
      </c>
    </row>
    <row r="349" spans="110:112" ht="39.950000000000003" hidden="1" customHeight="1" x14ac:dyDescent="0.25">
      <c r="DF349" s="42">
        <v>347</v>
      </c>
      <c r="DG349" s="46">
        <v>173.5</v>
      </c>
      <c r="DH349" s="53" t="s">
        <v>0</v>
      </c>
    </row>
    <row r="350" spans="110:112" ht="39.950000000000003" hidden="1" customHeight="1" x14ac:dyDescent="0.25">
      <c r="DF350" s="42">
        <v>348</v>
      </c>
      <c r="DG350" s="46">
        <v>174</v>
      </c>
      <c r="DH350" s="53" t="s">
        <v>0</v>
      </c>
    </row>
    <row r="351" spans="110:112" ht="39.950000000000003" hidden="1" customHeight="1" x14ac:dyDescent="0.25">
      <c r="DF351" s="42">
        <v>349</v>
      </c>
      <c r="DG351" s="46">
        <v>174.5</v>
      </c>
      <c r="DH351" s="53" t="s">
        <v>0</v>
      </c>
    </row>
    <row r="352" spans="110:112" ht="39.950000000000003" hidden="1" customHeight="1" x14ac:dyDescent="0.25">
      <c r="DF352" s="42">
        <v>350</v>
      </c>
      <c r="DG352" s="46">
        <v>175</v>
      </c>
      <c r="DH352" s="53" t="s">
        <v>0</v>
      </c>
    </row>
    <row r="353" spans="110:112" ht="39.950000000000003" hidden="1" customHeight="1" x14ac:dyDescent="0.25">
      <c r="DF353" s="42">
        <v>351</v>
      </c>
      <c r="DG353" s="46">
        <v>175.5</v>
      </c>
      <c r="DH353" s="53" t="s">
        <v>0</v>
      </c>
    </row>
    <row r="354" spans="110:112" ht="39.950000000000003" hidden="1" customHeight="1" x14ac:dyDescent="0.25">
      <c r="DF354" s="42">
        <v>352</v>
      </c>
      <c r="DG354" s="46">
        <v>176</v>
      </c>
      <c r="DH354" s="53" t="s">
        <v>0</v>
      </c>
    </row>
    <row r="355" spans="110:112" ht="39.950000000000003" hidden="1" customHeight="1" x14ac:dyDescent="0.25">
      <c r="DF355" s="42">
        <v>353</v>
      </c>
      <c r="DG355" s="46">
        <v>176.5</v>
      </c>
      <c r="DH355" s="53" t="s">
        <v>0</v>
      </c>
    </row>
    <row r="356" spans="110:112" ht="39.950000000000003" hidden="1" customHeight="1" x14ac:dyDescent="0.25">
      <c r="DF356" s="42">
        <v>354</v>
      </c>
      <c r="DG356" s="46">
        <v>177</v>
      </c>
      <c r="DH356" s="53" t="s">
        <v>0</v>
      </c>
    </row>
    <row r="357" spans="110:112" ht="39.950000000000003" hidden="1" customHeight="1" x14ac:dyDescent="0.25">
      <c r="DF357" s="42">
        <v>355</v>
      </c>
      <c r="DG357" s="46">
        <v>177.5</v>
      </c>
      <c r="DH357" s="53" t="s">
        <v>0</v>
      </c>
    </row>
    <row r="358" spans="110:112" ht="39.950000000000003" hidden="1" customHeight="1" x14ac:dyDescent="0.25">
      <c r="DF358" s="42">
        <v>356</v>
      </c>
      <c r="DG358" s="46">
        <v>178</v>
      </c>
      <c r="DH358" s="53" t="s">
        <v>0</v>
      </c>
    </row>
    <row r="359" spans="110:112" ht="39.950000000000003" hidden="1" customHeight="1" x14ac:dyDescent="0.25">
      <c r="DF359" s="42">
        <v>357</v>
      </c>
      <c r="DG359" s="46">
        <v>178.5</v>
      </c>
      <c r="DH359" s="53" t="s">
        <v>0</v>
      </c>
    </row>
    <row r="360" spans="110:112" ht="39.950000000000003" hidden="1" customHeight="1" x14ac:dyDescent="0.25">
      <c r="DF360" s="42">
        <v>358</v>
      </c>
      <c r="DG360" s="46">
        <v>179</v>
      </c>
      <c r="DH360" s="53" t="s">
        <v>0</v>
      </c>
    </row>
    <row r="361" spans="110:112" ht="39.950000000000003" hidden="1" customHeight="1" x14ac:dyDescent="0.25">
      <c r="DF361" s="42">
        <v>359</v>
      </c>
      <c r="DG361" s="46">
        <v>179.5</v>
      </c>
      <c r="DH361" s="53" t="s">
        <v>0</v>
      </c>
    </row>
    <row r="362" spans="110:112" ht="39.950000000000003" hidden="1" customHeight="1" x14ac:dyDescent="0.25">
      <c r="DF362" s="42">
        <v>360</v>
      </c>
      <c r="DG362" s="46">
        <v>180</v>
      </c>
      <c r="DH362" s="53" t="s">
        <v>0</v>
      </c>
    </row>
    <row r="363" spans="110:112" ht="9.9499999999999993" hidden="1" customHeight="1" x14ac:dyDescent="0.25"/>
  </sheetData>
  <sheetProtection algorithmName="SHA-512" hashValue="2J5RTvEzTlCRyLo8ctKGe3HXf/4+/aya32MM7pI5M3jE25G8nFZSTEcsBYpoNXneKXbWCzuOBLdOIniuGCVviQ==" saltValue="sRT7+ArD4Ha1Z5sETjTSuw==" spinCount="100000" sheet="1" objects="1" scenarios="1" selectLockedCells="1"/>
  <mergeCells count="24">
    <mergeCell ref="A28:B28"/>
    <mergeCell ref="D1:D14"/>
    <mergeCell ref="A27:B27"/>
    <mergeCell ref="I1:I14"/>
    <mergeCell ref="G1:G14"/>
    <mergeCell ref="A1:A14"/>
    <mergeCell ref="B1:B14"/>
    <mergeCell ref="F1:F14"/>
    <mergeCell ref="E1:E14"/>
    <mergeCell ref="C1:C14"/>
    <mergeCell ref="H1:H14"/>
    <mergeCell ref="J1:J14"/>
    <mergeCell ref="V1:V28"/>
    <mergeCell ref="W2:W27"/>
    <mergeCell ref="Y2:Y27"/>
    <mergeCell ref="X2:X27"/>
    <mergeCell ref="W1:Y1"/>
    <mergeCell ref="K1:K14"/>
    <mergeCell ref="W28:Y28"/>
    <mergeCell ref="L1:L14"/>
    <mergeCell ref="S1:S28"/>
    <mergeCell ref="M1:M14"/>
    <mergeCell ref="R1:R28"/>
    <mergeCell ref="N1:N14"/>
  </mergeCells>
  <phoneticPr fontId="4" type="noConversion"/>
  <dataValidations count="9">
    <dataValidation type="list" allowBlank="1" showInputMessage="1" showErrorMessage="1" sqref="K15:K26" xr:uid="{B1C2099D-98A6-4483-8526-9393A1872BC0}">
      <formula1>$DH$2:$DH$50</formula1>
    </dataValidation>
    <dataValidation type="list" allowBlank="1" showInputMessage="1" showErrorMessage="1" sqref="R1:R28" xr:uid="{9054E20C-415A-4A28-9A83-E6387959DADB}">
      <formula1>"Ocak, Şubat, Mart, Nisan, Mayıs, Haziran, Temmuz, Ağustos, Eylül, Ekim, Kasım, Aralık, Yıllık Toplam, Yıllık Ortalama"</formula1>
    </dataValidation>
    <dataValidation type="list" allowBlank="1" showInputMessage="1" showErrorMessage="1" sqref="AF1" xr:uid="{E78907BA-7A5C-4BC5-9626-30F7C79A3DA3}">
      <formula1>#REF!</formula1>
    </dataValidation>
    <dataValidation type="list" allowBlank="1" showInputMessage="1" showErrorMessage="1" sqref="D15:E26" xr:uid="{D16C9647-72F6-4D86-BCEE-3739AC9AC5F3}">
      <formula1>$DG$2:$DG$362</formula1>
    </dataValidation>
    <dataValidation type="list" allowBlank="1" showInputMessage="1" showErrorMessage="1" sqref="F15:G26 AM15:AM18 BC15:BC19 AM9:AM11 AJ15:AJ18 AZ15:AZ19 AJ9:AJ11 AP15:AP18 BF15:BF19 AP9:AP11 AT15:AT26 C15:C26" xr:uid="{65FACC1D-9377-4225-8D3E-97700607B264}">
      <formula1>$DF$2:$DF$362</formula1>
    </dataValidation>
    <dataValidation type="list" allowBlank="1" showInputMessage="1" showErrorMessage="1" sqref="V1" xr:uid="{F853FCC4-C3B8-4272-9BE3-E548C91B3D0F}">
      <formula1>$T$1:$T$14</formula1>
    </dataValidation>
    <dataValidation type="list" allowBlank="1" showInputMessage="1" showErrorMessage="1" sqref="A1:A14" xr:uid="{AE81A231-50A0-4C37-89AE-F70005CB0F11}">
      <formula1>$AA$1:$AA$60</formula1>
    </dataValidation>
    <dataValidation type="list" allowBlank="1" showInputMessage="1" showErrorMessage="1" sqref="H15:J26" xr:uid="{5AB322E3-3857-4954-8782-C4D00FE90DCE}">
      <formula1>$BW$1:$BW$19</formula1>
    </dataValidation>
    <dataValidation type="list" allowBlank="1" showInputMessage="1" showErrorMessage="1" sqref="AX20:AX24 BJ1:BJ5 BD20:BD21" xr:uid="{00000000-0002-0000-0000-00001D000000}">
      <formula1>"Yok, Var"</formula1>
    </dataValidation>
  </dataValidations>
  <printOptions horizontalCentered="1" verticalCentered="1"/>
  <pageMargins left="0" right="0" top="0" bottom="0" header="0" footer="0"/>
  <pageSetup paperSize="8"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Template/>
  <TotalTime>17</TotalTime>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Özet Tablo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x</dc:creator>
  <dc:description/>
  <cp:lastModifiedBy>!</cp:lastModifiedBy>
  <cp:lastPrinted>2021-01-27T16:23:43Z</cp:lastPrinted>
  <dcterms:created xsi:type="dcterms:W3CDTF">2015-06-05T18:19:34Z</dcterms:created>
  <dcterms:modified xsi:type="dcterms:W3CDTF">2022-08-30T09:04:24Z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