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BuÇalışmaKitabı" autoCompressPictures="0" defaultThemeVersion="124226"/>
  <mc:AlternateContent xmlns:mc="http://schemas.openxmlformats.org/markup-compatibility/2006">
    <mc:Choice Requires="x15">
      <x15ac:absPath xmlns:x15ac="http://schemas.microsoft.com/office/spreadsheetml/2010/11/ac" url="D:\Arif Gürer\Emek Defteri\Ödenekler Hesabı\01 - Genel Çalışmalar\Ek\ŞH-854\"/>
    </mc:Choice>
  </mc:AlternateContent>
  <xr:revisionPtr revIDLastSave="0" documentId="13_ncr:1_{E1203854-A8B7-4C41-92FB-87AC237A863A}" xr6:coauthVersionLast="47" xr6:coauthVersionMax="47" xr10:uidLastSave="{00000000-0000-0000-0000-000000000000}"/>
  <workbookProtection workbookAlgorithmName="SHA-512" workbookHashValue="o+hY9Pll0Vz1LRM6ApS78P0YG88ASZULJE7twqB48DkoFk4pgWdimgEzsp9Mtpwt2c3FeEdx0GBdw6gnDoPbRw==" workbookSaltValue="LfDrg32/ivdgl67kaFIMbw==" workbookSpinCount="100000" lockStructure="1"/>
  <bookViews>
    <workbookView xWindow="-120" yWindow="-120" windowWidth="29040" windowHeight="15840" xr2:uid="{00000000-000D-0000-FFFF-FFFF00000000}"/>
  </bookViews>
  <sheets>
    <sheet name="Özet Tablo" sheetId="131" r:id="rId1"/>
  </sheets>
  <definedNames>
    <definedName name="_xlnm._FilterDatabase" localSheetId="0" hidden="1">'Özet Tablo'!#REF!</definedName>
    <definedName name="Bartın_854" localSheetId="0">'Özet Tablo'!#REF!</definedName>
    <definedName name="Bartın_854">#REF!</definedName>
    <definedName name="Çanakkale_4857" localSheetId="0">'Özet Tablo'!#REF!</definedName>
    <definedName name="Çanakkale_4857">#REF!</definedName>
    <definedName name="Çanakkale_854" localSheetId="0">'Özet Tablo'!#REF!</definedName>
    <definedName name="Çanakkale_854">#REF!</definedName>
    <definedName name="İST_K_4857" localSheetId="0">'Özet Tablo'!#REF!</definedName>
    <definedName name="İST_K_4857">#REF!</definedName>
    <definedName name="İST_K_854" localSheetId="0">'Özet Tablo'!#REF!</definedName>
    <definedName name="İST_K_854">#REF!</definedName>
    <definedName name="İST_K_854_Deniz_Taksi" localSheetId="0">'Özet Tablo'!#REF!</definedName>
    <definedName name="İST_K_854_Deniz_Taksi">#REF!</definedName>
    <definedName name="İST_K_Güvenlik_Kapsam_Dışı" localSheetId="0">'Özet Tablo'!#REF!</definedName>
    <definedName name="İST_K_Güvenlik_Kapsam_Dışı">#REF!</definedName>
    <definedName name="İST_K_Kafe_Kapsam_Dışı" localSheetId="0">'Özet Tablo'!#REF!</definedName>
    <definedName name="İST_K_Kafe_Kapsam_Dışı">#REF!</definedName>
    <definedName name="İST_K_Temizlik_Kapsam_Dışı" localSheetId="0">'Özet Tablo'!#REF!</definedName>
    <definedName name="İST_K_Temizlik_Kapsam_Dışı">#REF!</definedName>
    <definedName name="İST_Ö_4857" localSheetId="0">'Özet Tablo'!#REF!</definedName>
    <definedName name="İST_Ö_4857">#REF!</definedName>
    <definedName name="İST_Ö_854" localSheetId="0">'Özet Tablo'!#REF!</definedName>
    <definedName name="İST_Ö_854">#REF!</definedName>
    <definedName name="İzmir_4857" localSheetId="0">'Özet Tablo'!#REF!</definedName>
    <definedName name="İzmir_4857">#REF!</definedName>
    <definedName name="İzmir_854" localSheetId="0">'Özet Tablo'!#REF!</definedName>
    <definedName name="İzmir_854">#REF!</definedName>
    <definedName name="Zonguldak_854" localSheetId="0">'Özet Tablo'!#REF!</definedName>
    <definedName name="Zonguldak_854">#REF!</definedName>
  </definedNames>
  <calcPr calcId="191029" iterate="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52" i="131" l="1"/>
  <c r="AJ53" i="131"/>
  <c r="AJ54" i="131"/>
  <c r="AJ51" i="131"/>
  <c r="AJ50" i="131"/>
  <c r="AJ49" i="131"/>
  <c r="AJ44" i="131"/>
  <c r="AJ45" i="131"/>
  <c r="AJ46" i="131"/>
  <c r="AJ47" i="131"/>
  <c r="AJ48" i="131"/>
  <c r="AJ43" i="131"/>
  <c r="B10" i="131"/>
  <c r="B6" i="131"/>
  <c r="B2" i="131"/>
  <c r="AK24" i="131"/>
  <c r="AK25" i="131"/>
  <c r="AK26" i="131"/>
  <c r="AK23" i="131"/>
  <c r="AK22" i="131"/>
  <c r="AK21" i="131"/>
  <c r="AK16" i="131"/>
  <c r="AK17" i="131"/>
  <c r="AK18" i="131"/>
  <c r="AK19" i="131"/>
  <c r="AK20" i="131"/>
  <c r="AK15" i="131"/>
  <c r="AM54" i="131"/>
  <c r="AL54" i="131"/>
  <c r="AM53" i="131"/>
  <c r="AL53" i="131"/>
  <c r="AM52" i="131"/>
  <c r="AL52" i="131"/>
  <c r="AM51" i="131"/>
  <c r="AL51" i="131"/>
  <c r="AM50" i="131"/>
  <c r="AL50" i="131"/>
  <c r="AM49" i="131"/>
  <c r="AL49" i="131"/>
  <c r="AM48" i="131"/>
  <c r="AL48" i="131"/>
  <c r="AM47" i="131"/>
  <c r="AL47" i="131"/>
  <c r="AM46" i="131"/>
  <c r="AL46" i="131"/>
  <c r="AM45" i="131"/>
  <c r="AL45" i="131"/>
  <c r="AM44" i="131"/>
  <c r="AL44" i="131"/>
  <c r="AM43" i="131"/>
  <c r="AL43" i="131"/>
  <c r="AO16" i="131" l="1"/>
  <c r="AO17" i="131"/>
  <c r="AO18" i="131"/>
  <c r="AO19" i="131"/>
  <c r="AO20" i="131"/>
  <c r="AO21" i="131"/>
  <c r="AO22" i="131"/>
  <c r="AO23" i="131"/>
  <c r="AO24" i="131"/>
  <c r="AO25" i="131"/>
  <c r="AO26" i="131"/>
  <c r="AO15" i="131"/>
  <c r="AJ4" i="131"/>
  <c r="AJ5" i="131"/>
  <c r="AJ6" i="131"/>
  <c r="AJ7" i="131"/>
  <c r="AJ8" i="131"/>
  <c r="AJ9" i="131"/>
  <c r="AJ10" i="131"/>
  <c r="AJ11" i="131"/>
  <c r="AJ12" i="131"/>
  <c r="AJ3" i="131"/>
  <c r="AJ55" i="131" l="1"/>
  <c r="AM31" i="131"/>
  <c r="AM32" i="131"/>
  <c r="AM33" i="131"/>
  <c r="AM34" i="131"/>
  <c r="AM35" i="131"/>
  <c r="AM36" i="131"/>
  <c r="AM37" i="131"/>
  <c r="AM38" i="131"/>
  <c r="AM39" i="131"/>
  <c r="AM40" i="131"/>
  <c r="AM30" i="131"/>
  <c r="AM29" i="131"/>
  <c r="AJ1" i="131"/>
  <c r="AJ2" i="131"/>
  <c r="AH55" i="131" l="1"/>
  <c r="AJ56" i="131" l="1"/>
  <c r="AR12" i="131"/>
  <c r="AR11" i="131"/>
  <c r="AR10" i="131"/>
  <c r="AR9" i="131"/>
  <c r="AR8" i="131"/>
  <c r="AR7" i="131"/>
  <c r="AR6" i="131"/>
  <c r="AR5" i="131"/>
  <c r="AR4" i="131"/>
  <c r="AR3" i="131"/>
  <c r="AR2" i="131"/>
  <c r="AR1" i="131"/>
  <c r="AR13" i="131" l="1"/>
  <c r="AR14" i="131" s="1"/>
  <c r="AP36" i="131"/>
  <c r="AP37" i="131"/>
  <c r="AH10" i="131"/>
  <c r="AF11" i="131"/>
  <c r="AP35" i="131"/>
  <c r="AH3" i="131"/>
  <c r="AH4" i="131"/>
  <c r="AF5" i="131"/>
  <c r="AF1" i="131"/>
  <c r="AL74" i="131"/>
  <c r="AK74" i="131"/>
  <c r="AP76" i="131"/>
  <c r="AP77" i="131"/>
  <c r="AP78" i="131"/>
  <c r="AP79" i="131"/>
  <c r="AP80" i="131"/>
  <c r="AP81" i="131"/>
  <c r="AP82" i="131"/>
  <c r="AP83" i="131"/>
  <c r="AP84" i="131"/>
  <c r="AP85" i="131"/>
  <c r="AP86" i="131"/>
  <c r="AP75" i="131"/>
  <c r="AR59" i="131"/>
  <c r="AQ59" i="131"/>
  <c r="AN41" i="131"/>
  <c r="AA37" i="131"/>
  <c r="AC37" i="131" s="1"/>
  <c r="AE55" i="131"/>
  <c r="AK41" i="131"/>
  <c r="F27" i="131"/>
  <c r="E27" i="131"/>
  <c r="D27" i="131"/>
  <c r="AR86" i="131"/>
  <c r="AK54" i="131" s="1"/>
  <c r="AO86" i="131"/>
  <c r="AN86" i="131"/>
  <c r="AQ86" i="131" s="1"/>
  <c r="AO71" i="131"/>
  <c r="AF71" i="131"/>
  <c r="Z71" i="131"/>
  <c r="AR85" i="131"/>
  <c r="AK53" i="131" s="1"/>
  <c r="AO85" i="131"/>
  <c r="AN85" i="131"/>
  <c r="AS85" i="131" s="1"/>
  <c r="AO70" i="131"/>
  <c r="AF70" i="131"/>
  <c r="Z70" i="131"/>
  <c r="AW70" i="131" s="1"/>
  <c r="AR84" i="131"/>
  <c r="AK52" i="131" s="1"/>
  <c r="AO84" i="131"/>
  <c r="AN84" i="131"/>
  <c r="AQ84" i="131" s="1"/>
  <c r="AO69" i="131"/>
  <c r="AF69" i="131"/>
  <c r="Z69" i="131"/>
  <c r="AA69" i="131" s="1"/>
  <c r="AB29" i="131"/>
  <c r="AR83" i="131"/>
  <c r="AK51" i="131" s="1"/>
  <c r="AO83" i="131"/>
  <c r="AN83" i="131"/>
  <c r="AQ83" i="131" s="1"/>
  <c r="AO68" i="131"/>
  <c r="AF68" i="131"/>
  <c r="Z68" i="131"/>
  <c r="AA68" i="131" s="1"/>
  <c r="AB68" i="131" s="1"/>
  <c r="AC68" i="131" s="1"/>
  <c r="AA28" i="131"/>
  <c r="AC28" i="131" s="1"/>
  <c r="AR82" i="131"/>
  <c r="AK50" i="131" s="1"/>
  <c r="AO82" i="131"/>
  <c r="AN82" i="131"/>
  <c r="AS82" i="131" s="1"/>
  <c r="AO67" i="131"/>
  <c r="AF67" i="131"/>
  <c r="Z67" i="131"/>
  <c r="AA67" i="131" s="1"/>
  <c r="AA27" i="131"/>
  <c r="AC27" i="131" s="1"/>
  <c r="AR81" i="131"/>
  <c r="AK49" i="131" s="1"/>
  <c r="AO81" i="131"/>
  <c r="AN81" i="131"/>
  <c r="AO66" i="131"/>
  <c r="AF66" i="131"/>
  <c r="Z66" i="131"/>
  <c r="AA66" i="131" s="1"/>
  <c r="AA26" i="131"/>
  <c r="AD26" i="131" s="1"/>
  <c r="AR80" i="131"/>
  <c r="AK48" i="131" s="1"/>
  <c r="AO80" i="131"/>
  <c r="AN80" i="131"/>
  <c r="AQ80" i="131" s="1"/>
  <c r="AO65" i="131"/>
  <c r="AF65" i="131"/>
  <c r="Z65" i="131"/>
  <c r="AD65" i="131" s="1"/>
  <c r="AA25" i="131"/>
  <c r="AD25" i="131" s="1"/>
  <c r="AR79" i="131"/>
  <c r="AK47" i="131" s="1"/>
  <c r="AO79" i="131"/>
  <c r="AN79" i="131"/>
  <c r="AS79" i="131" s="1"/>
  <c r="AO64" i="131"/>
  <c r="AK64" i="131"/>
  <c r="AF64" i="131"/>
  <c r="Z64" i="131"/>
  <c r="AD64" i="131" s="1"/>
  <c r="AR78" i="131"/>
  <c r="AK46" i="131" s="1"/>
  <c r="AO78" i="131"/>
  <c r="AN78" i="131"/>
  <c r="A18" i="131" s="1"/>
  <c r="AO63" i="131"/>
  <c r="AK63" i="131"/>
  <c r="AF63" i="131"/>
  <c r="Z63" i="131"/>
  <c r="AE63" i="131" s="1"/>
  <c r="AR77" i="131"/>
  <c r="AK45" i="131" s="1"/>
  <c r="AO77" i="131"/>
  <c r="AN77" i="131"/>
  <c r="AQ77" i="131" s="1"/>
  <c r="AO62" i="131"/>
  <c r="AK62" i="131"/>
  <c r="AF62" i="131"/>
  <c r="Z62" i="131"/>
  <c r="AE62" i="131" s="1"/>
  <c r="AA22" i="131"/>
  <c r="AR76" i="131"/>
  <c r="AK44" i="131" s="1"/>
  <c r="AO76" i="131"/>
  <c r="AN76" i="131"/>
  <c r="A16" i="131" s="1"/>
  <c r="AO61" i="131"/>
  <c r="AM61" i="131"/>
  <c r="AK61" i="131"/>
  <c r="AF61" i="131"/>
  <c r="Z61" i="131"/>
  <c r="AD61" i="131" s="1"/>
  <c r="AR75" i="131"/>
  <c r="AK43" i="131" s="1"/>
  <c r="AO75" i="131"/>
  <c r="AN75" i="131"/>
  <c r="AO60" i="131"/>
  <c r="AF60" i="131"/>
  <c r="Z60" i="131"/>
  <c r="AD60" i="131" s="1"/>
  <c r="AF15" i="131"/>
  <c r="AE16" i="131" s="1"/>
  <c r="AA20" i="131"/>
  <c r="AA21" i="131" s="1"/>
  <c r="AD21" i="131" s="1"/>
  <c r="AD10" i="131" s="1"/>
  <c r="AA19" i="131"/>
  <c r="AD19" i="131" s="1"/>
  <c r="AD8" i="131" s="1"/>
  <c r="AA16" i="131"/>
  <c r="AA7" i="131"/>
  <c r="AC7" i="131" s="1"/>
  <c r="AA6" i="131"/>
  <c r="AC6" i="131" s="1"/>
  <c r="S2" i="131"/>
  <c r="AA5" i="131"/>
  <c r="AC5" i="131" s="1"/>
  <c r="AM41" i="131"/>
  <c r="AM42" i="131" s="1"/>
  <c r="X6" i="131" s="1"/>
  <c r="W6" i="131" s="1"/>
  <c r="AD5" i="131" l="1"/>
  <c r="AL33" i="131"/>
  <c r="AP87" i="131"/>
  <c r="AP88" i="131" s="1"/>
  <c r="AG45" i="131"/>
  <c r="AI45" i="131"/>
  <c r="AL40" i="131"/>
  <c r="AG54" i="131"/>
  <c r="AI54" i="131"/>
  <c r="AG47" i="131"/>
  <c r="AI47" i="131"/>
  <c r="AQ78" i="131"/>
  <c r="AS86" i="131"/>
  <c r="AL30" i="131"/>
  <c r="AG44" i="131"/>
  <c r="AI44" i="131"/>
  <c r="AG49" i="131"/>
  <c r="AI49" i="131"/>
  <c r="AG51" i="131"/>
  <c r="AI51" i="131"/>
  <c r="AG46" i="131"/>
  <c r="AI46" i="131"/>
  <c r="AG53" i="131"/>
  <c r="AI53" i="131"/>
  <c r="AG52" i="131"/>
  <c r="AI52" i="131"/>
  <c r="AG43" i="131"/>
  <c r="AI43" i="131"/>
  <c r="AG48" i="131"/>
  <c r="AI48" i="131"/>
  <c r="AG50" i="131"/>
  <c r="AI50" i="131"/>
  <c r="AN22" i="131"/>
  <c r="A19" i="131"/>
  <c r="AC26" i="131"/>
  <c r="AL36" i="131"/>
  <c r="AC25" i="131"/>
  <c r="AN23" i="131"/>
  <c r="AN16" i="131"/>
  <c r="AL39" i="131"/>
  <c r="AN26" i="131"/>
  <c r="AL29" i="131"/>
  <c r="AS83" i="131"/>
  <c r="AN15" i="131"/>
  <c r="AS78" i="131"/>
  <c r="AL31" i="131"/>
  <c r="AM62" i="131"/>
  <c r="AM63" i="131" s="1"/>
  <c r="AM64" i="131" s="1"/>
  <c r="AW65" i="131"/>
  <c r="AJ13" i="131"/>
  <c r="AJ14" i="131" s="1"/>
  <c r="A26" i="131"/>
  <c r="A24" i="131"/>
  <c r="AN24" i="131"/>
  <c r="AN20" i="131"/>
  <c r="AD68" i="131"/>
  <c r="AL34" i="131"/>
  <c r="AW61" i="131"/>
  <c r="AO72" i="131"/>
  <c r="AO73" i="131" s="1"/>
  <c r="A23" i="131"/>
  <c r="AN87" i="131"/>
  <c r="AN88" i="131" s="1"/>
  <c r="A28" i="131" s="1"/>
  <c r="AG62" i="131"/>
  <c r="AH62" i="131" s="1"/>
  <c r="A17" i="131"/>
  <c r="AG63" i="131"/>
  <c r="AI63" i="131" s="1"/>
  <c r="AN19" i="131"/>
  <c r="AC20" i="131"/>
  <c r="AC22" i="131" s="1"/>
  <c r="AC23" i="131" s="1"/>
  <c r="AD20" i="131"/>
  <c r="AD22" i="131" s="1"/>
  <c r="AD23" i="131" s="1"/>
  <c r="AL32" i="131"/>
  <c r="AA36" i="131"/>
  <c r="AC21" i="131"/>
  <c r="AC10" i="131" s="1"/>
  <c r="AE60" i="131"/>
  <c r="AG60" i="131" s="1"/>
  <c r="AI60" i="131" s="1"/>
  <c r="AO87" i="131"/>
  <c r="AO88" i="131" s="1"/>
  <c r="AQ85" i="131"/>
  <c r="AA29" i="131"/>
  <c r="AD29" i="131" s="1"/>
  <c r="AG3" i="131"/>
  <c r="AE68" i="131"/>
  <c r="AG68" i="131" s="1"/>
  <c r="AI68" i="131" s="1"/>
  <c r="AQ79" i="131"/>
  <c r="AS77" i="131"/>
  <c r="AC19" i="131"/>
  <c r="AC8" i="131" s="1"/>
  <c r="AS84" i="131"/>
  <c r="AE69" i="131"/>
  <c r="AG69" i="131" s="1"/>
  <c r="AH69" i="131" s="1"/>
  <c r="AS80" i="131"/>
  <c r="A20" i="131"/>
  <c r="AD66" i="131"/>
  <c r="AD69" i="131"/>
  <c r="AW68" i="131"/>
  <c r="AD6" i="131"/>
  <c r="AW66" i="131"/>
  <c r="AD28" i="131"/>
  <c r="A25" i="131"/>
  <c r="AD37" i="131"/>
  <c r="AN25" i="131"/>
  <c r="AN21" i="131"/>
  <c r="AN17" i="131"/>
  <c r="AE5" i="131"/>
  <c r="AJ22" i="131"/>
  <c r="AO50" i="131" s="1"/>
  <c r="AP50" i="131" s="1"/>
  <c r="AH8" i="131"/>
  <c r="AG8" i="131" s="1"/>
  <c r="AA60" i="131"/>
  <c r="AB60" i="131" s="1"/>
  <c r="AC60" i="131" s="1"/>
  <c r="AW69" i="131"/>
  <c r="AE64" i="131"/>
  <c r="AG64" i="131" s="1"/>
  <c r="AI64" i="131" s="1"/>
  <c r="AJ23" i="131"/>
  <c r="AO51" i="131" s="1"/>
  <c r="AP51" i="131" s="1"/>
  <c r="AL55" i="131"/>
  <c r="AL56" i="131" s="1"/>
  <c r="AE70" i="131"/>
  <c r="AG70" i="131" s="1"/>
  <c r="AA64" i="131"/>
  <c r="AB64" i="131" s="1"/>
  <c r="AC64" i="131" s="1"/>
  <c r="AE61" i="131"/>
  <c r="AG61" i="131" s="1"/>
  <c r="AW60" i="131"/>
  <c r="AF9" i="131"/>
  <c r="AE9" i="131" s="1"/>
  <c r="AA62" i="131"/>
  <c r="AB62" i="131" s="1"/>
  <c r="AC62" i="131" s="1"/>
  <c r="AW64" i="131"/>
  <c r="AA61" i="131"/>
  <c r="AB61" i="131" s="1"/>
  <c r="AC61" i="131" s="1"/>
  <c r="AH9" i="131"/>
  <c r="AG9" i="131" s="1"/>
  <c r="AJ17" i="131"/>
  <c r="AO45" i="131" s="1"/>
  <c r="AP45" i="131" s="1"/>
  <c r="AP32" i="131"/>
  <c r="AO32" i="131" s="1"/>
  <c r="AJ18" i="131"/>
  <c r="AO46" i="131" s="1"/>
  <c r="AP46" i="131" s="1"/>
  <c r="AG4" i="131"/>
  <c r="X16" i="131"/>
  <c r="W16" i="131" s="1"/>
  <c r="AW62" i="131"/>
  <c r="AD7" i="131"/>
  <c r="AN18" i="131"/>
  <c r="A15" i="131"/>
  <c r="AS76" i="131"/>
  <c r="A21" i="131"/>
  <c r="AQ81" i="131"/>
  <c r="AB67" i="131"/>
  <c r="AC67" i="131" s="1"/>
  <c r="AW67" i="131"/>
  <c r="AA70" i="131"/>
  <c r="AB70" i="131" s="1"/>
  <c r="AC70" i="131" s="1"/>
  <c r="AD63" i="131"/>
  <c r="AW63" i="131"/>
  <c r="AF16" i="131"/>
  <c r="AH16" i="131" s="1"/>
  <c r="Z72" i="131"/>
  <c r="Z73" i="131" s="1"/>
  <c r="AL38" i="131"/>
  <c r="AQ76" i="131"/>
  <c r="AS81" i="131"/>
  <c r="AS75" i="131"/>
  <c r="AD9" i="131"/>
  <c r="AQ75" i="131"/>
  <c r="A22" i="131"/>
  <c r="AD67" i="131"/>
  <c r="AA63" i="131"/>
  <c r="AF72" i="131"/>
  <c r="AF73" i="131" s="1"/>
  <c r="AA65" i="131"/>
  <c r="AB65" i="131" s="1"/>
  <c r="AC65" i="131" s="1"/>
  <c r="AE65" i="131"/>
  <c r="AG65" i="131" s="1"/>
  <c r="AB66" i="131"/>
  <c r="AC66" i="131" s="1"/>
  <c r="AE66" i="131"/>
  <c r="AG66" i="131" s="1"/>
  <c r="AB69" i="131"/>
  <c r="AC69" i="131" s="1"/>
  <c r="AO27" i="131"/>
  <c r="AK55" i="131"/>
  <c r="AK56" i="131" s="1"/>
  <c r="AL37" i="131"/>
  <c r="AA71" i="131"/>
  <c r="AB71" i="131" s="1"/>
  <c r="AC71" i="131" s="1"/>
  <c r="AE71" i="131"/>
  <c r="AG71" i="131" s="1"/>
  <c r="AW71" i="131"/>
  <c r="AE67" i="131"/>
  <c r="AG67" i="131" s="1"/>
  <c r="AH15" i="131"/>
  <c r="AD27" i="131"/>
  <c r="AQ82" i="131"/>
  <c r="AD70" i="131"/>
  <c r="AD71" i="131"/>
  <c r="AD62" i="131"/>
  <c r="AG15" i="131"/>
  <c r="AM15" i="131" s="1"/>
  <c r="AL15" i="131" s="1"/>
  <c r="AL35" i="131"/>
  <c r="AJ19" i="131"/>
  <c r="AO47" i="131" s="1"/>
  <c r="AP47" i="131" s="1"/>
  <c r="AO35" i="131"/>
  <c r="AO37" i="131"/>
  <c r="AJ26" i="131"/>
  <c r="AO54" i="131" s="1"/>
  <c r="AP54" i="131" s="1"/>
  <c r="AO36" i="131"/>
  <c r="AE11" i="131"/>
  <c r="AG10" i="131"/>
  <c r="AP33" i="131"/>
  <c r="AO33" i="131" s="1"/>
  <c r="AP38" i="131"/>
  <c r="AO38" i="131" s="1"/>
  <c r="AF10" i="131"/>
  <c r="AE10" i="131" s="1"/>
  <c r="AJ24" i="131"/>
  <c r="AO52" i="131" s="1"/>
  <c r="AP52" i="131" s="1"/>
  <c r="AF8" i="131"/>
  <c r="AE8" i="131" s="1"/>
  <c r="AF4" i="131"/>
  <c r="AE4" i="131" s="1"/>
  <c r="AJ15" i="131"/>
  <c r="AO43" i="131" s="1"/>
  <c r="AP43" i="131" s="1"/>
  <c r="AH1" i="131"/>
  <c r="AG1" i="131" s="1"/>
  <c r="AF3" i="131"/>
  <c r="AE3" i="131" s="1"/>
  <c r="AP31" i="131"/>
  <c r="AO31" i="131" s="1"/>
  <c r="AP29" i="131"/>
  <c r="AO29" i="131" s="1"/>
  <c r="AH11" i="131"/>
  <c r="AG11" i="131" s="1"/>
  <c r="AF12" i="131"/>
  <c r="AE12" i="131" s="1"/>
  <c r="AP40" i="131"/>
  <c r="AO40" i="131" s="1"/>
  <c r="AH7" i="131"/>
  <c r="AG7" i="131" s="1"/>
  <c r="AP39" i="131"/>
  <c r="AO39" i="131" s="1"/>
  <c r="AH12" i="131"/>
  <c r="AG12" i="131" s="1"/>
  <c r="AJ21" i="131"/>
  <c r="AO49" i="131" s="1"/>
  <c r="AP49" i="131" s="1"/>
  <c r="AJ25" i="131"/>
  <c r="AO53" i="131" s="1"/>
  <c r="AP53" i="131" s="1"/>
  <c r="AF7" i="131"/>
  <c r="AE7" i="131" s="1"/>
  <c r="AJ16" i="131"/>
  <c r="AF2" i="131"/>
  <c r="AH2" i="131"/>
  <c r="AP30" i="131"/>
  <c r="AF6" i="131"/>
  <c r="AJ20" i="131"/>
  <c r="AO48" i="131" s="1"/>
  <c r="AP48" i="131" s="1"/>
  <c r="AP34" i="131"/>
  <c r="AO34" i="131" s="1"/>
  <c r="AH6" i="131"/>
  <c r="AG6" i="131" s="1"/>
  <c r="AE1" i="131"/>
  <c r="AK27" i="131"/>
  <c r="AK28" i="131" s="1"/>
  <c r="AH5" i="131"/>
  <c r="AG55" i="131" l="1"/>
  <c r="AG56" i="131" s="1"/>
  <c r="X8" i="131" s="1"/>
  <c r="W8" i="131" s="1"/>
  <c r="X5" i="131"/>
  <c r="W5" i="131" s="1"/>
  <c r="AI62" i="131"/>
  <c r="AN62" i="131" s="1"/>
  <c r="AP62" i="131" s="1"/>
  <c r="AH68" i="131"/>
  <c r="AN68" i="131" s="1"/>
  <c r="AP68" i="131" s="1"/>
  <c r="AI69" i="131"/>
  <c r="AN69" i="131" s="1"/>
  <c r="AP69" i="131" s="1"/>
  <c r="AD30" i="131"/>
  <c r="AC9" i="131"/>
  <c r="AF55" i="131"/>
  <c r="AF56" i="131" s="1"/>
  <c r="AN27" i="131"/>
  <c r="AN28" i="131" s="1"/>
  <c r="AH60" i="131"/>
  <c r="AH63" i="131"/>
  <c r="AN63" i="131" s="1"/>
  <c r="AP63" i="131" s="1"/>
  <c r="AC36" i="131"/>
  <c r="AD36" i="131"/>
  <c r="AL41" i="131"/>
  <c r="AL42" i="131" s="1"/>
  <c r="AC29" i="131"/>
  <c r="AC30" i="131" s="1"/>
  <c r="AH64" i="131"/>
  <c r="AN64" i="131" s="1"/>
  <c r="AP64" i="131" s="1"/>
  <c r="AH70" i="131"/>
  <c r="AI70" i="131"/>
  <c r="AA72" i="131"/>
  <c r="AA73" i="131" s="1"/>
  <c r="AB63" i="131"/>
  <c r="AW72" i="131"/>
  <c r="AW73" i="131" s="1"/>
  <c r="AM55" i="131"/>
  <c r="AM56" i="131" s="1"/>
  <c r="AI61" i="131"/>
  <c r="AH61" i="131"/>
  <c r="AG72" i="131"/>
  <c r="AG73" i="131" s="1"/>
  <c r="AI15" i="131"/>
  <c r="AI67" i="131"/>
  <c r="AH67" i="131"/>
  <c r="AI71" i="131"/>
  <c r="AH71" i="131"/>
  <c r="AI65" i="131"/>
  <c r="AH65" i="131"/>
  <c r="AE17" i="131"/>
  <c r="AG16" i="131"/>
  <c r="AD72" i="131"/>
  <c r="AD73" i="131" s="1"/>
  <c r="AI66" i="131"/>
  <c r="AH66" i="131"/>
  <c r="AE72" i="131"/>
  <c r="AE73" i="131" s="1"/>
  <c r="AO28" i="131"/>
  <c r="X2" i="131" s="1"/>
  <c r="W2" i="131" s="1"/>
  <c r="AF13" i="131"/>
  <c r="AF14" i="131" s="1"/>
  <c r="AG2" i="131"/>
  <c r="AH13" i="131"/>
  <c r="AH14" i="131" s="1"/>
  <c r="AG5" i="131"/>
  <c r="AE6" i="131"/>
  <c r="AE2" i="131"/>
  <c r="AJ27" i="131"/>
  <c r="AJ28" i="131" s="1"/>
  <c r="AO44" i="131"/>
  <c r="AO30" i="131"/>
  <c r="AO41" i="131" s="1"/>
  <c r="AO42" i="131" s="1"/>
  <c r="AP41" i="131"/>
  <c r="AP42" i="131" s="1"/>
  <c r="X9" i="131" l="1"/>
  <c r="W9" i="131" s="1"/>
  <c r="AN60" i="131"/>
  <c r="AP60" i="131" s="1"/>
  <c r="X3" i="131"/>
  <c r="W3" i="131" s="1"/>
  <c r="AN70" i="131"/>
  <c r="AP70" i="131" s="1"/>
  <c r="AH72" i="131"/>
  <c r="AH73" i="131" s="1"/>
  <c r="AF17" i="131"/>
  <c r="AH17" i="131" s="1"/>
  <c r="X10" i="131"/>
  <c r="W10" i="131" s="1"/>
  <c r="AN65" i="131"/>
  <c r="AP65" i="131" s="1"/>
  <c r="AN61" i="131"/>
  <c r="AP61" i="131" s="1"/>
  <c r="AN66" i="131"/>
  <c r="AP66" i="131" s="1"/>
  <c r="AN67" i="131"/>
  <c r="AP67" i="131" s="1"/>
  <c r="AI72" i="131"/>
  <c r="AI73" i="131" s="1"/>
  <c r="AC63" i="131"/>
  <c r="AB72" i="131"/>
  <c r="AB73" i="131" s="1"/>
  <c r="AI16" i="131"/>
  <c r="AM16" i="131"/>
  <c r="AN71" i="131"/>
  <c r="AP71" i="131" s="1"/>
  <c r="X4" i="131"/>
  <c r="W4" i="131" s="1"/>
  <c r="AE13" i="131"/>
  <c r="AE14" i="131" s="1"/>
  <c r="X7" i="131"/>
  <c r="W7" i="131" s="1"/>
  <c r="AP44" i="131"/>
  <c r="AP55" i="131" s="1"/>
  <c r="AP56" i="131" s="1"/>
  <c r="AO55" i="131"/>
  <c r="AO56" i="131" s="1"/>
  <c r="AG13" i="131"/>
  <c r="AG14" i="131" s="1"/>
  <c r="AC72" i="131" l="1"/>
  <c r="AC73" i="131" s="1"/>
  <c r="AQ64" i="131"/>
  <c r="AR64" i="131" s="1"/>
  <c r="AQ70" i="131"/>
  <c r="AR70" i="131" s="1"/>
  <c r="AQ67" i="131"/>
  <c r="AR67" i="131" s="1"/>
  <c r="AQ65" i="131"/>
  <c r="AR65" i="131" s="1"/>
  <c r="AP72" i="131"/>
  <c r="AP73" i="131" s="1"/>
  <c r="AQ61" i="131"/>
  <c r="AR61" i="131" s="1"/>
  <c r="AQ69" i="131"/>
  <c r="AR69" i="131" s="1"/>
  <c r="AQ71" i="131"/>
  <c r="AR71" i="131" s="1"/>
  <c r="AQ63" i="131"/>
  <c r="AR63" i="131" s="1"/>
  <c r="AQ62" i="131"/>
  <c r="AR62" i="131" s="1"/>
  <c r="AQ60" i="131"/>
  <c r="AR60" i="131" s="1"/>
  <c r="AS60" i="131" s="1"/>
  <c r="AT60" i="131" s="1"/>
  <c r="AV60" i="131" s="1"/>
  <c r="AQ66" i="131"/>
  <c r="AR66" i="131" s="1"/>
  <c r="AQ68" i="131"/>
  <c r="AR68" i="131" s="1"/>
  <c r="AL16" i="131"/>
  <c r="AN72" i="131"/>
  <c r="AN73" i="131" s="1"/>
  <c r="AG17" i="131"/>
  <c r="AE18" i="131"/>
  <c r="X11" i="131"/>
  <c r="W11" i="131" s="1"/>
  <c r="AS62" i="131" l="1"/>
  <c r="AT62" i="131" s="1"/>
  <c r="AS68" i="131"/>
  <c r="AT68" i="131" s="1"/>
  <c r="AU68" i="131" s="1"/>
  <c r="AS63" i="131"/>
  <c r="AT63" i="131" s="1"/>
  <c r="AU63" i="131" s="1"/>
  <c r="AS70" i="131"/>
  <c r="AT70" i="131" s="1"/>
  <c r="AV70" i="131" s="1"/>
  <c r="AS66" i="131"/>
  <c r="AT66" i="131" s="1"/>
  <c r="AV66" i="131" s="1"/>
  <c r="AU60" i="131"/>
  <c r="AS71" i="131"/>
  <c r="AT71" i="131" s="1"/>
  <c r="AS64" i="131"/>
  <c r="AT64" i="131" s="1"/>
  <c r="AF18" i="131"/>
  <c r="AS69" i="131"/>
  <c r="AT69" i="131" s="1"/>
  <c r="AS65" i="131"/>
  <c r="AT65" i="131" s="1"/>
  <c r="AI17" i="131"/>
  <c r="AM17" i="131"/>
  <c r="AV62" i="131"/>
  <c r="AU62" i="131"/>
  <c r="AS61" i="131"/>
  <c r="AT61" i="131" s="1"/>
  <c r="AS67" i="131"/>
  <c r="AT67" i="131" s="1"/>
  <c r="AU66" i="131" l="1"/>
  <c r="AV63" i="131"/>
  <c r="AV68" i="131"/>
  <c r="AU70" i="131"/>
  <c r="AV61" i="131"/>
  <c r="AU61" i="131"/>
  <c r="AV65" i="131"/>
  <c r="AU65" i="131"/>
  <c r="AE19" i="131"/>
  <c r="AG18" i="131"/>
  <c r="AV69" i="131"/>
  <c r="AU69" i="131"/>
  <c r="AV64" i="131"/>
  <c r="AU64" i="131"/>
  <c r="AL17" i="131"/>
  <c r="AV71" i="131"/>
  <c r="AU71" i="131"/>
  <c r="AV67" i="131"/>
  <c r="AU67" i="131"/>
  <c r="AH18" i="131"/>
  <c r="AF19" i="131" l="1"/>
  <c r="AH19" i="131" s="1"/>
  <c r="AI18" i="131"/>
  <c r="AM18" i="131"/>
  <c r="AU72" i="131"/>
  <c r="AU73" i="131" s="1"/>
  <c r="AL18" i="131" l="1"/>
  <c r="AE20" i="131"/>
  <c r="AG19" i="131"/>
  <c r="AF20" i="131" l="1"/>
  <c r="AH20" i="131" s="1"/>
  <c r="AM19" i="131"/>
  <c r="AI19" i="131"/>
  <c r="AL19" i="131" l="1"/>
  <c r="AG20" i="131"/>
  <c r="AE21" i="131"/>
  <c r="AF21" i="131" l="1"/>
  <c r="AI20" i="131"/>
  <c r="AM20" i="131"/>
  <c r="AE22" i="131" l="1"/>
  <c r="AG21" i="131"/>
  <c r="AL20" i="131"/>
  <c r="AH21" i="131"/>
  <c r="AF22" i="131" l="1"/>
  <c r="AI21" i="131"/>
  <c r="AM21" i="131"/>
  <c r="AG22" i="131" l="1"/>
  <c r="AE23" i="131"/>
  <c r="AH22" i="131"/>
  <c r="AL21" i="131"/>
  <c r="AF23" i="131" l="1"/>
  <c r="AH23" i="131" s="1"/>
  <c r="AI22" i="131"/>
  <c r="AM22" i="131"/>
  <c r="AG23" i="131" l="1"/>
  <c r="AE24" i="131"/>
  <c r="AL22" i="131"/>
  <c r="AF24" i="131" l="1"/>
  <c r="AH24" i="131" s="1"/>
  <c r="AM23" i="131"/>
  <c r="AI23" i="131"/>
  <c r="AL23" i="131" l="1"/>
  <c r="AE25" i="131"/>
  <c r="AG24" i="131"/>
  <c r="AI24" i="131" l="1"/>
  <c r="AM24" i="131"/>
  <c r="AF25" i="131"/>
  <c r="AL24" i="131" l="1"/>
  <c r="AE26" i="131"/>
  <c r="AG25" i="131"/>
  <c r="AH25" i="131"/>
  <c r="AF26" i="131" l="1"/>
  <c r="AG26" i="131" s="1"/>
  <c r="AG27" i="131" s="1"/>
  <c r="AI25" i="131"/>
  <c r="AM25" i="131"/>
  <c r="AL25" i="131" l="1"/>
  <c r="AH26" i="131"/>
  <c r="AH27" i="131" s="1"/>
  <c r="AM26" i="131"/>
  <c r="AL26" i="131" s="1"/>
  <c r="AM27" i="131" l="1"/>
  <c r="AM28" i="131" s="1"/>
  <c r="AI26" i="131"/>
  <c r="AI27" i="131" s="1"/>
  <c r="AL27" i="131"/>
  <c r="AL28" i="131" s="1"/>
  <c r="X1" i="131" l="1"/>
  <c r="W1" i="131" s="1"/>
  <c r="AI55" i="131"/>
  <c r="AI56" i="131" s="1"/>
  <c r="AI1" i="131"/>
  <c r="AK1" i="131"/>
  <c r="AL1" i="131"/>
  <c r="AM1" i="131"/>
  <c r="AN1" i="131"/>
  <c r="AO1" i="131"/>
  <c r="AP1" i="131"/>
  <c r="AQ1" i="131"/>
  <c r="AS1" i="131"/>
  <c r="AT1" i="131"/>
  <c r="AU1" i="131"/>
  <c r="AV1" i="131"/>
  <c r="AW1" i="131"/>
  <c r="AI2" i="131"/>
  <c r="AK2" i="131"/>
  <c r="AL2" i="131"/>
  <c r="AM2" i="131"/>
  <c r="AN2" i="131"/>
  <c r="AO2" i="131"/>
  <c r="AP2" i="131"/>
  <c r="AQ2" i="131"/>
  <c r="AS2" i="131"/>
  <c r="AT2" i="131"/>
  <c r="AU2" i="131"/>
  <c r="AV2" i="131"/>
  <c r="AW2" i="131"/>
  <c r="AI3" i="131"/>
  <c r="AK3" i="131"/>
  <c r="AL3" i="131"/>
  <c r="AM3" i="131"/>
  <c r="AN3" i="131"/>
  <c r="AO3" i="131"/>
  <c r="AP3" i="131"/>
  <c r="AQ3" i="131"/>
  <c r="AS3" i="131"/>
  <c r="AT3" i="131"/>
  <c r="AU3" i="131"/>
  <c r="AV3" i="131"/>
  <c r="AW3" i="131"/>
  <c r="AI4" i="131"/>
  <c r="AK4" i="131"/>
  <c r="AL4" i="131"/>
  <c r="AM4" i="131"/>
  <c r="AN4" i="131"/>
  <c r="AO4" i="131"/>
  <c r="AP4" i="131"/>
  <c r="AQ4" i="131"/>
  <c r="AS4" i="131"/>
  <c r="AT4" i="131"/>
  <c r="AU4" i="131"/>
  <c r="AV4" i="131"/>
  <c r="AW4" i="131"/>
  <c r="AI5" i="131"/>
  <c r="AK5" i="131"/>
  <c r="AL5" i="131"/>
  <c r="AM5" i="131"/>
  <c r="AN5" i="131"/>
  <c r="AO5" i="131"/>
  <c r="AP5" i="131"/>
  <c r="AQ5" i="131"/>
  <c r="AS5" i="131"/>
  <c r="AT5" i="131"/>
  <c r="AU5" i="131"/>
  <c r="AV5" i="131"/>
  <c r="AW5" i="131"/>
  <c r="AI6" i="131"/>
  <c r="AK6" i="131"/>
  <c r="AL6" i="131"/>
  <c r="AM6" i="131"/>
  <c r="AN6" i="131"/>
  <c r="AO6" i="131"/>
  <c r="AP6" i="131"/>
  <c r="AQ6" i="131"/>
  <c r="AS6" i="131"/>
  <c r="AT6" i="131"/>
  <c r="AU6" i="131"/>
  <c r="AV6" i="131"/>
  <c r="AW6" i="131"/>
  <c r="AI7" i="131"/>
  <c r="AK7" i="131"/>
  <c r="AL7" i="131"/>
  <c r="AM7" i="131"/>
  <c r="AN7" i="131"/>
  <c r="AO7" i="131"/>
  <c r="AP7" i="131"/>
  <c r="AQ7" i="131"/>
  <c r="AS7" i="131"/>
  <c r="AT7" i="131"/>
  <c r="AU7" i="131"/>
  <c r="AV7" i="131"/>
  <c r="AW7" i="131"/>
  <c r="AI8" i="131"/>
  <c r="AK8" i="131"/>
  <c r="AL8" i="131"/>
  <c r="AM8" i="131"/>
  <c r="AN8" i="131"/>
  <c r="AO8" i="131"/>
  <c r="AP8" i="131"/>
  <c r="AQ8" i="131"/>
  <c r="AS8" i="131"/>
  <c r="AT8" i="131"/>
  <c r="AU8" i="131"/>
  <c r="AV8" i="131"/>
  <c r="AW8" i="131"/>
  <c r="AI9" i="131"/>
  <c r="AK9" i="131"/>
  <c r="AL9" i="131"/>
  <c r="AM9" i="131"/>
  <c r="AN9" i="131"/>
  <c r="AO9" i="131"/>
  <c r="AP9" i="131"/>
  <c r="AQ9" i="131"/>
  <c r="AS9" i="131"/>
  <c r="AT9" i="131"/>
  <c r="AU9" i="131"/>
  <c r="AV9" i="131"/>
  <c r="AW9" i="131"/>
  <c r="AI10" i="131"/>
  <c r="AK10" i="131"/>
  <c r="AL10" i="131"/>
  <c r="AM10" i="131"/>
  <c r="AN10" i="131"/>
  <c r="AO10" i="131"/>
  <c r="AP10" i="131"/>
  <c r="AQ10" i="131"/>
  <c r="AS10" i="131"/>
  <c r="AT10" i="131"/>
  <c r="AU10" i="131"/>
  <c r="AV10" i="131"/>
  <c r="AW10" i="131"/>
  <c r="AI11" i="131"/>
  <c r="AK11" i="131"/>
  <c r="AL11" i="131"/>
  <c r="AM11" i="131"/>
  <c r="AN11" i="131"/>
  <c r="AO11" i="131"/>
  <c r="AP11" i="131"/>
  <c r="AQ11" i="131"/>
  <c r="AS11" i="131"/>
  <c r="AT11" i="131"/>
  <c r="AU11" i="131"/>
  <c r="AV11" i="131"/>
  <c r="AW11" i="131"/>
  <c r="W12" i="131"/>
  <c r="X12" i="131"/>
  <c r="AI12" i="131"/>
  <c r="AK12" i="131"/>
  <c r="AL12" i="131"/>
  <c r="AM12" i="131"/>
  <c r="AN12" i="131"/>
  <c r="AO12" i="131"/>
  <c r="AP12" i="131"/>
  <c r="AQ12" i="131"/>
  <c r="AS12" i="131"/>
  <c r="AT12" i="131"/>
  <c r="AU12" i="131"/>
  <c r="AV12" i="131"/>
  <c r="AW12" i="131"/>
  <c r="W13" i="131"/>
  <c r="X13" i="131"/>
  <c r="AI13" i="131"/>
  <c r="AK13" i="131"/>
  <c r="AL13" i="131"/>
  <c r="AM13" i="131"/>
  <c r="AN13" i="131"/>
  <c r="AO13" i="131"/>
  <c r="AP13" i="131"/>
  <c r="AQ13" i="131"/>
  <c r="AS13" i="131"/>
  <c r="AT13" i="131"/>
  <c r="AU13" i="131"/>
  <c r="AV13" i="131"/>
  <c r="AW13" i="131"/>
  <c r="W14" i="131"/>
  <c r="X14" i="131"/>
  <c r="AI14" i="131"/>
  <c r="AK14" i="131"/>
  <c r="AL14" i="131"/>
  <c r="AM14" i="131"/>
  <c r="AN14" i="131"/>
  <c r="AO14" i="131"/>
  <c r="AP14" i="131"/>
  <c r="AQ14" i="131"/>
  <c r="AS14" i="131"/>
  <c r="AT14" i="131"/>
  <c r="AU14" i="131"/>
  <c r="AV14" i="131"/>
  <c r="AW14" i="131"/>
  <c r="L15" i="131"/>
  <c r="M15" i="131"/>
  <c r="N15" i="131"/>
  <c r="W15" i="131"/>
  <c r="X15" i="131"/>
  <c r="AP15" i="131"/>
  <c r="AQ15" i="131"/>
  <c r="AR15" i="131"/>
  <c r="L16" i="131"/>
  <c r="M16" i="131"/>
  <c r="N16" i="131"/>
  <c r="AP16" i="131"/>
  <c r="AQ16" i="131"/>
  <c r="AR16" i="131"/>
  <c r="L17" i="131"/>
  <c r="M17" i="131"/>
  <c r="N17" i="131"/>
  <c r="W17" i="131"/>
  <c r="X17" i="131"/>
  <c r="AP17" i="131"/>
  <c r="AQ17" i="131"/>
  <c r="AR17" i="131"/>
  <c r="L18" i="131"/>
  <c r="M18" i="131"/>
  <c r="N18" i="131"/>
  <c r="W18" i="131"/>
  <c r="X18" i="131"/>
  <c r="AP18" i="131"/>
  <c r="AQ18" i="131"/>
  <c r="AR18" i="131"/>
  <c r="L19" i="131"/>
  <c r="M19" i="131"/>
  <c r="N19" i="131"/>
  <c r="W19" i="131"/>
  <c r="X19" i="131"/>
  <c r="AP19" i="131"/>
  <c r="AQ19" i="131"/>
  <c r="AR19" i="131"/>
  <c r="L20" i="131"/>
  <c r="M20" i="131"/>
  <c r="N20" i="131"/>
  <c r="AP20" i="131"/>
  <c r="AQ20" i="131"/>
  <c r="AR20" i="131"/>
  <c r="L21" i="131"/>
  <c r="M21" i="131"/>
  <c r="N21" i="131"/>
  <c r="AP21" i="131"/>
  <c r="AQ21" i="131"/>
  <c r="AR21" i="131"/>
  <c r="L22" i="131"/>
  <c r="M22" i="131"/>
  <c r="N22" i="131"/>
  <c r="AP22" i="131"/>
  <c r="AQ22" i="131"/>
  <c r="AR22" i="131"/>
  <c r="L23" i="131"/>
  <c r="M23" i="131"/>
  <c r="N23" i="131"/>
  <c r="AP23" i="131"/>
  <c r="AQ23" i="131"/>
  <c r="AR23" i="131"/>
  <c r="L24" i="131"/>
  <c r="M24" i="131"/>
  <c r="N24" i="131"/>
  <c r="AP24" i="131"/>
  <c r="AQ24" i="131"/>
  <c r="AR24" i="131"/>
  <c r="L25" i="131"/>
  <c r="M25" i="131"/>
  <c r="N25" i="131"/>
  <c r="AP25" i="131"/>
  <c r="AQ25" i="131"/>
  <c r="AR25" i="131"/>
  <c r="L26" i="131"/>
  <c r="M26" i="131"/>
  <c r="N26" i="131"/>
  <c r="AP26" i="131"/>
  <c r="AQ26" i="131"/>
  <c r="AR26" i="131"/>
  <c r="L27" i="131"/>
  <c r="M27" i="131"/>
  <c r="N27" i="131"/>
  <c r="AP27" i="131"/>
  <c r="AQ27" i="131"/>
  <c r="AR27" i="131"/>
  <c r="L28" i="131"/>
  <c r="M28" i="131"/>
  <c r="N28" i="131"/>
  <c r="AP28" i="131"/>
  <c r="AQ28" i="131"/>
  <c r="AR28" i="131"/>
  <c r="AE29" i="131"/>
  <c r="AF29" i="131"/>
  <c r="AG29" i="131"/>
  <c r="AH29" i="131"/>
  <c r="AI29" i="131"/>
  <c r="AJ29" i="131"/>
  <c r="AE30" i="131"/>
  <c r="AF30" i="131"/>
  <c r="AG30" i="131"/>
  <c r="AH30" i="131"/>
  <c r="AI30" i="131"/>
  <c r="AJ30" i="131"/>
  <c r="AR30" i="131"/>
  <c r="AE31" i="131"/>
  <c r="AF31" i="131"/>
  <c r="AG31" i="131"/>
  <c r="AH31" i="131"/>
  <c r="AI31" i="131"/>
  <c r="AJ31" i="131"/>
  <c r="AR31" i="131"/>
  <c r="AE32" i="131"/>
  <c r="AF32" i="131"/>
  <c r="AG32" i="131"/>
  <c r="AH32" i="131"/>
  <c r="AI32" i="131"/>
  <c r="AJ32" i="131"/>
  <c r="AR32" i="131"/>
  <c r="AE33" i="131"/>
  <c r="AF33" i="131"/>
  <c r="AG33" i="131"/>
  <c r="AH33" i="131"/>
  <c r="AI33" i="131"/>
  <c r="AJ33" i="131"/>
  <c r="AR33" i="131"/>
  <c r="AE34" i="131"/>
  <c r="AF34" i="131"/>
  <c r="AG34" i="131"/>
  <c r="AH34" i="131"/>
  <c r="AI34" i="131"/>
  <c r="AJ34" i="131"/>
  <c r="AR34" i="131"/>
  <c r="AE35" i="131"/>
  <c r="AF35" i="131"/>
  <c r="AG35" i="131"/>
  <c r="AH35" i="131"/>
  <c r="AI35" i="131"/>
  <c r="AJ35" i="131"/>
  <c r="AR35" i="131"/>
  <c r="AE36" i="131"/>
  <c r="AF36" i="131"/>
  <c r="AG36" i="131"/>
  <c r="AH36" i="131"/>
  <c r="AI36" i="131"/>
  <c r="AJ36" i="131"/>
  <c r="AR36" i="131"/>
  <c r="AE37" i="131"/>
  <c r="AF37" i="131"/>
  <c r="AG37" i="131"/>
  <c r="AH37" i="131"/>
  <c r="AI37" i="131"/>
  <c r="AJ37" i="131"/>
  <c r="AR37" i="131"/>
  <c r="AE38" i="131"/>
  <c r="AF38" i="131"/>
  <c r="AG38" i="131"/>
  <c r="AH38" i="131"/>
  <c r="AI38" i="131"/>
  <c r="AJ38" i="131"/>
  <c r="AR38" i="131"/>
  <c r="AE39" i="131"/>
  <c r="AF39" i="131"/>
  <c r="AG39" i="131"/>
  <c r="AH39" i="131"/>
  <c r="AI39" i="131"/>
  <c r="AJ39" i="131"/>
  <c r="AR39" i="131"/>
  <c r="AE40" i="131"/>
  <c r="AF40" i="131"/>
  <c r="AG40" i="131"/>
  <c r="AH40" i="131"/>
  <c r="AI40" i="131"/>
  <c r="AJ40" i="131"/>
  <c r="AR40" i="131"/>
  <c r="AE41" i="131"/>
  <c r="AF41" i="131"/>
  <c r="AG41" i="131"/>
  <c r="AH41" i="131"/>
  <c r="AI41" i="131"/>
  <c r="AJ41" i="131"/>
  <c r="AR41" i="131"/>
  <c r="AE42" i="131"/>
  <c r="AF42" i="131"/>
  <c r="AG42" i="131"/>
  <c r="AH42" i="131"/>
  <c r="AI42" i="131"/>
  <c r="AJ42" i="131"/>
  <c r="AR42" i="131"/>
  <c r="AR43" i="131"/>
  <c r="Z75" i="131"/>
  <c r="AA75" i="131"/>
  <c r="AB75" i="131"/>
  <c r="AC75" i="131"/>
  <c r="AD75" i="131"/>
  <c r="AE75" i="131"/>
  <c r="AF75" i="131"/>
  <c r="AG75" i="131"/>
  <c r="AH75" i="131"/>
  <c r="AI75" i="131"/>
  <c r="AJ75" i="131"/>
  <c r="AK75" i="131"/>
  <c r="AL75" i="131"/>
  <c r="AM75" i="131"/>
  <c r="Z76" i="131"/>
  <c r="AA76" i="131"/>
  <c r="AB76" i="131"/>
  <c r="AC76" i="131"/>
  <c r="AD76" i="131"/>
  <c r="AE76" i="131"/>
  <c r="AF76" i="131"/>
  <c r="AG76" i="131"/>
  <c r="AH76" i="131"/>
  <c r="AI76" i="131"/>
  <c r="AJ76" i="131"/>
  <c r="AK76" i="131"/>
  <c r="AL76" i="131"/>
  <c r="AM76" i="131"/>
  <c r="Z77" i="131"/>
  <c r="AA77" i="131"/>
  <c r="AB77" i="131"/>
  <c r="AC77" i="131"/>
  <c r="AD77" i="131"/>
  <c r="AE77" i="131"/>
  <c r="AF77" i="131"/>
  <c r="AG77" i="131"/>
  <c r="AH77" i="131"/>
  <c r="AI77" i="131"/>
  <c r="AJ77" i="131"/>
  <c r="AK77" i="131"/>
  <c r="AL77" i="131"/>
  <c r="AM77" i="131"/>
  <c r="Z78" i="131"/>
  <c r="AA78" i="131"/>
  <c r="AB78" i="131"/>
  <c r="AC78" i="131"/>
  <c r="AD78" i="131"/>
  <c r="AE78" i="131"/>
  <c r="AF78" i="131"/>
  <c r="AG78" i="131"/>
  <c r="AH78" i="131"/>
  <c r="AI78" i="131"/>
  <c r="AJ78" i="131"/>
  <c r="AK78" i="131"/>
  <c r="AL78" i="131"/>
  <c r="AM78" i="131"/>
  <c r="Z79" i="131"/>
  <c r="AA79" i="131"/>
  <c r="AB79" i="131"/>
  <c r="AC79" i="131"/>
  <c r="AD79" i="131"/>
  <c r="AE79" i="131"/>
  <c r="AF79" i="131"/>
  <c r="AG79" i="131"/>
  <c r="AH79" i="131"/>
  <c r="AI79" i="131"/>
  <c r="AJ79" i="131"/>
  <c r="AK79" i="131"/>
  <c r="AL79" i="131"/>
  <c r="AM79" i="131"/>
  <c r="Z80" i="131"/>
  <c r="AA80" i="131"/>
  <c r="AB80" i="131"/>
  <c r="AC80" i="131"/>
  <c r="AD80" i="131"/>
  <c r="AE80" i="131"/>
  <c r="AF80" i="131"/>
  <c r="AG80" i="131"/>
  <c r="AH80" i="131"/>
  <c r="AI80" i="131"/>
  <c r="AJ80" i="131"/>
  <c r="AK80" i="131"/>
  <c r="AL80" i="131"/>
  <c r="AM80" i="131"/>
  <c r="Z81" i="131"/>
  <c r="AA81" i="131"/>
  <c r="AB81" i="131"/>
  <c r="AC81" i="131"/>
  <c r="AD81" i="131"/>
  <c r="AE81" i="131"/>
  <c r="AF81" i="131"/>
  <c r="AG81" i="131"/>
  <c r="AH81" i="131"/>
  <c r="AI81" i="131"/>
  <c r="AJ81" i="131"/>
  <c r="AK81" i="131"/>
  <c r="AL81" i="131"/>
  <c r="AM81" i="131"/>
  <c r="Z82" i="131"/>
  <c r="AA82" i="131"/>
  <c r="AB82" i="131"/>
  <c r="AC82" i="131"/>
  <c r="AD82" i="131"/>
  <c r="AE82" i="131"/>
  <c r="AF82" i="131"/>
  <c r="AG82" i="131"/>
  <c r="AH82" i="131"/>
  <c r="AI82" i="131"/>
  <c r="AJ82" i="131"/>
  <c r="AK82" i="131"/>
  <c r="AL82" i="131"/>
  <c r="AM82" i="131"/>
  <c r="Z83" i="131"/>
  <c r="AA83" i="131"/>
  <c r="AB83" i="131"/>
  <c r="AC83" i="131"/>
  <c r="AD83" i="131"/>
  <c r="AE83" i="131"/>
  <c r="AF83" i="131"/>
  <c r="AG83" i="131"/>
  <c r="AH83" i="131"/>
  <c r="AI83" i="131"/>
  <c r="AJ83" i="131"/>
  <c r="AK83" i="131"/>
  <c r="AL83" i="131"/>
  <c r="AM83" i="131"/>
  <c r="Z84" i="131"/>
  <c r="AA84" i="131"/>
  <c r="AB84" i="131"/>
  <c r="AC84" i="131"/>
  <c r="AD84" i="131"/>
  <c r="AE84" i="131"/>
  <c r="AF84" i="131"/>
  <c r="AG84" i="131"/>
  <c r="AH84" i="131"/>
  <c r="AI84" i="131"/>
  <c r="AJ84" i="131"/>
  <c r="AK84" i="131"/>
  <c r="AL84" i="131"/>
  <c r="AM84" i="131"/>
  <c r="Z85" i="131"/>
  <c r="AA85" i="131"/>
  <c r="AB85" i="131"/>
  <c r="AC85" i="131"/>
  <c r="AD85" i="131"/>
  <c r="AE85" i="131"/>
  <c r="AF85" i="131"/>
  <c r="AG85" i="131"/>
  <c r="AH85" i="131"/>
  <c r="AI85" i="131"/>
  <c r="AJ85" i="131"/>
  <c r="AK85" i="131"/>
  <c r="AL85" i="131"/>
  <c r="AM85" i="131"/>
  <c r="Z86" i="131"/>
  <c r="AA86" i="131"/>
  <c r="AB86" i="131"/>
  <c r="AC86" i="131"/>
  <c r="AD86" i="131"/>
  <c r="AE86" i="131"/>
  <c r="AF86" i="131"/>
  <c r="AG86" i="131"/>
  <c r="AH86" i="131"/>
  <c r="AI86" i="131"/>
  <c r="AJ86" i="131"/>
  <c r="AK86" i="131"/>
  <c r="AL86" i="131"/>
  <c r="AM86" i="131"/>
  <c r="Z87" i="131"/>
  <c r="AA87" i="131"/>
  <c r="AB87" i="131"/>
  <c r="AC87" i="131"/>
  <c r="AD87" i="131"/>
  <c r="AE87" i="131"/>
  <c r="AF87" i="131"/>
  <c r="AG87" i="131"/>
  <c r="AH87" i="131"/>
  <c r="AI87" i="131"/>
  <c r="AJ87" i="131"/>
  <c r="Z88" i="131"/>
  <c r="AA88" i="131"/>
  <c r="AB88" i="131"/>
  <c r="AC88" i="131"/>
  <c r="AD88" i="131"/>
  <c r="AE88" i="131"/>
  <c r="AF88" i="131"/>
  <c r="AG88" i="131"/>
  <c r="AH88" i="131"/>
  <c r="AI88" i="131"/>
  <c r="AJ88" i="131"/>
</calcChain>
</file>

<file path=xl/sharedStrings.xml><?xml version="1.0" encoding="utf-8"?>
<sst xmlns="http://schemas.openxmlformats.org/spreadsheetml/2006/main" count="606" uniqueCount="96">
  <si>
    <t>-</t>
  </si>
  <si>
    <t>Yok</t>
  </si>
  <si>
    <t>Temizlik Yardımı</t>
  </si>
  <si>
    <t>Doğal Afet Yardımı</t>
  </si>
  <si>
    <t>Kıdem Yardımı</t>
  </si>
  <si>
    <t>SGK Prim Kesintisi</t>
  </si>
  <si>
    <t>SGK İşsizlik Primi Kesintisi</t>
  </si>
  <si>
    <t>Yemek Yardımı</t>
  </si>
  <si>
    <t>Sosyal Yardım</t>
  </si>
  <si>
    <t>Evlilik Yardımı</t>
  </si>
  <si>
    <t>Var</t>
  </si>
  <si>
    <t>OCA</t>
  </si>
  <si>
    <t>ŞUB</t>
  </si>
  <si>
    <t>MAR</t>
  </si>
  <si>
    <t>NİS</t>
  </si>
  <si>
    <t>MAY</t>
  </si>
  <si>
    <t>HAZ</t>
  </si>
  <si>
    <t>TEM</t>
  </si>
  <si>
    <t>AĞU</t>
  </si>
  <si>
    <t>EYL</t>
  </si>
  <si>
    <t>EKİ</t>
  </si>
  <si>
    <t>KAS</t>
  </si>
  <si>
    <t>ARA</t>
  </si>
  <si>
    <t>Annelik İzni</t>
  </si>
  <si>
    <t>Analık Hâli İzni</t>
  </si>
  <si>
    <t>Babalık İzni</t>
  </si>
  <si>
    <t>Süt İzni</t>
  </si>
  <si>
    <t>Engelli Çocuk İzni</t>
  </si>
  <si>
    <t>Evlat Edinme İzni</t>
  </si>
  <si>
    <t>Doğal Afet İzni</t>
  </si>
  <si>
    <t>Ulaşım Yardımı</t>
  </si>
  <si>
    <t>Normal Çalışma</t>
  </si>
  <si>
    <t>BES Kesintisi</t>
  </si>
  <si>
    <t>Damga Vergisi Kesintisi</t>
  </si>
  <si>
    <t>Gelir Vergisi Kesintisi</t>
  </si>
  <si>
    <t>İkramiye Yardımı</t>
  </si>
  <si>
    <t>İş Kazası veya Meslek Hastalığı Tazminatı</t>
  </si>
  <si>
    <t>Nakdi Yardımlar</t>
  </si>
  <si>
    <t>Sendika Üyelik Aidatı Kesintisi</t>
  </si>
  <si>
    <t>Gıda Yardımı</t>
  </si>
  <si>
    <t>Ücretli Sendikal İzin ve Sendika Temsilci Sayısı</t>
  </si>
  <si>
    <t>İş Arama İzni</t>
  </si>
  <si>
    <t>Ücretli Yıllık İzin</t>
  </si>
  <si>
    <t>Kazançlar</t>
  </si>
  <si>
    <t>Kesintiler</t>
  </si>
  <si>
    <t>Cenaze İzni</t>
  </si>
  <si>
    <t>Evlilik İzni</t>
  </si>
  <si>
    <t>Mazeret İzni</t>
  </si>
  <si>
    <t>Yol İzni</t>
  </si>
  <si>
    <t>a) İşçinin eşinin doğum yapması hâlinde 5 takvim günü ücretli sosyal izin verilir.</t>
  </si>
  <si>
    <t>a) İşçinin ikamet ettiği konutun doğal afet nedeniyle hasara uğraması hâlinde 10 iş günü ücretli sosyal izin verilir.</t>
  </si>
  <si>
    <t>a) İşçinin evlenmesi hâlinde 7 iş günü ücretli sosyal izin verilir.
b) İşçinin çocuğunun evlenmesi hâlinde 0 iş günü ücretli sosyal izin verilir.
c) İşçinin evliliğinde, evlilik izninin hangi şekilde kullanılacağı işçinin talebi doğrultusunda değerlendirilir.</t>
  </si>
  <si>
    <t>a) İşçilere, gerekli ve geçerli mazeretleri hâlinde işverenin takdirine bağlı olarak yılda 6 iş günü ücretli sosyal izin verilir.
b) İşçilere, gerekli ve geçerli mazeretleri hâlinde işverenin takdirine bağlı olarak yılda 6 aya kadar ücretsiz sosyal izin verilebilir. Genel müdürün uygun görmesi hâlinde 12 aya kadar uzatılabilir.</t>
  </si>
  <si>
    <t>Askerlik Yardımı</t>
  </si>
  <si>
    <t>a) İşçinin eşinin veya çocuğunun vefatı hâlinde 5 iş günü ücretli sosyal izin verilir.
b) İşçinin annesinin, babasının veya kardeşinin vefatı hâlinde 5 iş günü ücretli sosyal izin verilir.
c) İşçinin eşinin annesinin, babasının veya kardeşinin vefatı hâlinde 5 iş günü ücretli sosyal izin verilir.
d) İşçinin amcasının, halasının, dayısının, teyzesinin, dedesinin veya ninesinin vefatı hâlinde 0 iş günü ücretli sosyal izin verilir.
e) Cenazenin il dışında olması veya il dışına götürülmesi hâlinde işçinin annesinin, babasının, kardeşinin, eşinin veya çocuğunun cenazesi için ilave 5 iş günü amcasının, halasının, dayısının, teyzesinin, dedesinin veya ninesinin cenazesi için ilave 0 iş günü ücretli sosyal izin verilir.
f) İşçilerden birinin vefatı hâlinde cenaze işlemleri veya katılımı için ihtiyaç kadar işçiye ücretli sosyal izin verilir.
g) Vefat eden kişi birden fazla personelin yakını ise cenaze izni her personele ayrı ayrı verilir.</t>
  </si>
  <si>
    <t>Yıllık Ortalama</t>
  </si>
  <si>
    <t xml:space="preserve">   Kıdem Yardımı</t>
  </si>
  <si>
    <t xml:space="preserve">   Yemek Yardımı</t>
  </si>
  <si>
    <t xml:space="preserve">   Nakdi Yardımlar
   Sürekliliği Olmayan Yardımlar</t>
  </si>
  <si>
    <t>Cenaze Yardımı (Anne-Baba)</t>
  </si>
  <si>
    <t>Cenaze Yardımı (Eş-Çocuk)</t>
  </si>
  <si>
    <t>Cenaze Yardımı (İşçi-İş Kazası Sonucu)</t>
  </si>
  <si>
    <t>Cenaze Yardımı (İşçi-Tabii Sebepler Sonucu)</t>
  </si>
  <si>
    <t>Eğitim Yardımı (İşçi-Lise)</t>
  </si>
  <si>
    <t>Eğitim Yardımı (İşçi-Yükseköğretim)</t>
  </si>
  <si>
    <t>Eğitim Yardımı (Çocuk-İlköğretim)</t>
  </si>
  <si>
    <t>Eğitim Yardımı (Çocuk-Ortaöğretim)</t>
  </si>
  <si>
    <t>Eğitim Yardımı (Çocuk-Lise)</t>
  </si>
  <si>
    <t>Eğitim Yardımı (Çocuk-Yükseköğretim)</t>
  </si>
  <si>
    <t xml:space="preserve">   Toplam Kazanç
   Net</t>
  </si>
  <si>
    <t>İşveren Maliyeti</t>
  </si>
  <si>
    <r>
      <t xml:space="preserve">   Sonraki Ayın 1'inde
   </t>
    </r>
    <r>
      <rPr>
        <b/>
        <sz val="16"/>
        <rFont val="Calibri"/>
        <family val="2"/>
        <charset val="162"/>
        <scheme val="minor"/>
      </rPr>
      <t>Net</t>
    </r>
  </si>
  <si>
    <t>a) 3 yaşını doldurmamış çocuğu evlat edinen eşlerden birine veya evlat edinene çocuğun aileye fiilen teslim edildiği tarihten itibaren 8 hafta analık hâli izni kullandırılır.
(4857 sayılı İş Kanunu / Madde 74)</t>
  </si>
  <si>
    <t>Miktar</t>
  </si>
  <si>
    <t>a) Hizmeti 6 ay olanlar için 15 iş günü ücretli yıllık izin verilir.
Hizmeti 1-5 yıl olanlar için 30 iş günü ücretli yıllık izin verilir.
Hizmeti 5-10 yıl olanlar için 30 iş günü ücretli yıllık izin verilir.
Hizmeti 10-15 yıl olanlar için 30 iş günü ücretli yıllık izin verilir.
Hizmeti 15 yıldan fazla olanlar için 30 iş günü ücretli yıllık izin verilir.
b) Aynı işveren emrinde veya aynı gemide bir takvim yılı içinde bir veya birkaç hizmet aktine dayanarak en az altı ay çalışmış olan gemiadamı, yıllık ücretli izine hak kazanır.
İzin süresi, altı aydan bir yıla kadar hizmeti olan gemiadamları için 15 günden ve bir yıl ve daha fazla hizmeti olanlar için yılda bir aydan az olamaz.
İzin işverenin uygun göreceği bir zamanda kullanılır. Bu haktan feragat edilemez.
Bir aylık izin, tarafların rızasiyle aynı yıl içinde kullanılmak suretiyle ikiye bölünebilir.
Gemiadamı, yıllık ücretli iznini yabancı bir memleket limanında veya hizmet aktinin yapılmış bulunduğu mahalden gayri bir yerde kullanmaya zorlanamaz.
Gemiadamı, dilerse, işveren veya işveren vekilinden ücretli izne ilişkin olarak 7 güne kadar ücretsiz yol izni de istiyebilir.
Gemiadamının hakettiği yıllık ücretli izni kullanmadan hizmet akti 14 üncü maddenin II, III ve IV üncü bentlerine göre bozulursa, işveren veya işveren vekili izin süresine ait ücreti, gemiadamına ödemek zorundadır.
(854 sayılı Deniz İş Kanunu / Madde 40)</t>
  </si>
  <si>
    <t>a) Gemiadamı, dilerse, işveren veya işveren vekilinden ücretli izne ilişkin olarak 7 güne kadar ücretsiz yol izni de isteyebilir.
(854 sayılı Deniz İş Kanunu / Madde 40)</t>
  </si>
  <si>
    <t xml:space="preserve">   BES Kesintisi</t>
  </si>
  <si>
    <t>Toplam</t>
  </si>
  <si>
    <t>Ortalama</t>
  </si>
  <si>
    <t>Fazla Çalışma (% 40)</t>
  </si>
  <si>
    <t>Resmi Tatillerde Çalışma (% 100)</t>
  </si>
  <si>
    <r>
      <t xml:space="preserve">   Fazla Çalışma
   </t>
    </r>
    <r>
      <rPr>
        <b/>
        <sz val="16"/>
        <rFont val="Calibri"/>
        <family val="2"/>
        <charset val="162"/>
        <scheme val="minor"/>
      </rPr>
      <t>% 40</t>
    </r>
  </si>
  <si>
    <r>
      <t xml:space="preserve">   Resmi Tatillerde Çalışma
</t>
    </r>
    <r>
      <rPr>
        <b/>
        <sz val="16"/>
        <rFont val="Calibri"/>
        <family val="2"/>
        <charset val="162"/>
        <scheme val="minor"/>
      </rPr>
      <t xml:space="preserve">   % 100</t>
    </r>
  </si>
  <si>
    <r>
      <t xml:space="preserve">   Sonraki Ayın 15'inde
   Fazla Çalışma (Gündüz-Gece-Resmi Tatil)
   Yemek Yardımı
   </t>
    </r>
    <r>
      <rPr>
        <b/>
        <sz val="16"/>
        <rFont val="Calibri"/>
        <family val="2"/>
        <charset val="162"/>
        <scheme val="minor"/>
      </rPr>
      <t>Net</t>
    </r>
  </si>
  <si>
    <t xml:space="preserve">   Engellilik İndirimi</t>
  </si>
  <si>
    <t>Kaptan / Makinist</t>
  </si>
  <si>
    <t>Güverte Lostromosu</t>
  </si>
  <si>
    <t>(%100) Gemici / Yağcı</t>
  </si>
  <si>
    <t>Görev Primi</t>
  </si>
  <si>
    <t>(%95) Gemici / Yağcı</t>
  </si>
  <si>
    <r>
      <t xml:space="preserve">a) Kadın işçilerin </t>
    </r>
    <r>
      <rPr>
        <b/>
        <sz val="16"/>
        <color theme="0"/>
        <rFont val="Calibri"/>
        <family val="2"/>
        <charset val="162"/>
        <scheme val="minor"/>
      </rPr>
      <t>doğumdan önce 8 ve doğumdan sonra 8 hafta</t>
    </r>
    <r>
      <rPr>
        <sz val="16"/>
        <color theme="0"/>
        <rFont val="Calibri"/>
        <family val="2"/>
        <charset val="162"/>
        <scheme val="minor"/>
      </rPr>
      <t xml:space="preserve"> olmak üzere toplam 16 haftalık süre için çalıştırılmamaları esastır.
(4857 sayılı İş Kanunu / Madde 74)</t>
    </r>
  </si>
  <si>
    <r>
      <t xml:space="preserve">a) İşçilerin en az %70 oranında engelli veya süreğen hastalığı olan çocuğunun tedavisinde, hastalık raporuna dayalı olarak ve çalışan ebeveynden sadece biri tarafından kullanılması kaydıyla, </t>
    </r>
    <r>
      <rPr>
        <b/>
        <sz val="16"/>
        <color theme="0"/>
        <rFont val="Calibri"/>
        <family val="2"/>
        <charset val="162"/>
        <scheme val="minor"/>
      </rPr>
      <t>bir yıl içinde toptan veya bölümler hâlinde 10 güne kadar</t>
    </r>
    <r>
      <rPr>
        <sz val="16"/>
        <color theme="0"/>
        <rFont val="Calibri"/>
        <family val="2"/>
        <charset val="162"/>
        <scheme val="minor"/>
      </rPr>
      <t xml:space="preserve"> ücretli izin verilir.
(4857 sayılı İş Kanunu / Ek Madde 2)</t>
    </r>
  </si>
  <si>
    <r>
      <t xml:space="preserve">a) İşçiye; evlat edinmesi hâlinde </t>
    </r>
    <r>
      <rPr>
        <b/>
        <sz val="16"/>
        <color theme="0"/>
        <rFont val="Calibri"/>
        <family val="2"/>
        <charset val="162"/>
        <scheme val="minor"/>
      </rPr>
      <t>3 gün</t>
    </r>
    <r>
      <rPr>
        <sz val="16"/>
        <color theme="0"/>
        <rFont val="Calibri"/>
        <family val="2"/>
        <charset val="162"/>
        <scheme val="minor"/>
      </rPr>
      <t xml:space="preserve"> ücretli izin verilir.
(4857 sayılı İş Kanunu / Ek Madde 2)</t>
    </r>
  </si>
  <si>
    <r>
      <t xml:space="preserve">a) Bildirim süreleri içinde işveren, işçiye yeni bir iş bulması için gerekli olan iş arama iznini iş saatleri içinde ve ücret kesintisi yapmadan vermeye mecburdur. İş arama izninin süresi </t>
    </r>
    <r>
      <rPr>
        <b/>
        <sz val="16"/>
        <color theme="0"/>
        <rFont val="Calibri"/>
        <family val="2"/>
        <charset val="162"/>
        <scheme val="minor"/>
      </rPr>
      <t>günde 2 saatten az olamaz</t>
    </r>
    <r>
      <rPr>
        <sz val="16"/>
        <color theme="0"/>
        <rFont val="Calibri"/>
        <family val="2"/>
        <charset val="162"/>
        <scheme val="minor"/>
      </rPr>
      <t xml:space="preserve"> ve işçi isterse iş arama izin saatlerini birleştirerek toplu kullanabilir.
(4857 sayılı İş Kanunu / Madde 27)</t>
    </r>
  </si>
  <si>
    <r>
      <t xml:space="preserve">a) Kadın işçilere bir yaşından küçük çocuklarını emzirmeleri için </t>
    </r>
    <r>
      <rPr>
        <b/>
        <sz val="16"/>
        <color theme="0"/>
        <rFont val="Calibri"/>
        <family val="2"/>
        <charset val="162"/>
        <scheme val="minor"/>
      </rPr>
      <t>günde toplam 1,5 saat</t>
    </r>
    <r>
      <rPr>
        <sz val="16"/>
        <color theme="0"/>
        <rFont val="Calibri"/>
        <family val="2"/>
        <charset val="162"/>
        <scheme val="minor"/>
      </rPr>
      <t xml:space="preserve"> süt izni verilir.
(4857 sayılı İş Kanunu / Madde 74)</t>
    </r>
  </si>
  <si>
    <r>
      <t xml:space="preserve">a) İşyerinde işçi sayısı 50’ye kadar ise yıllık en fazla 20 iş günü ücretli izin verilir.
İşyerinde işçi sayısı 51 ile 100 arasında ise yıllık en fazla 30 iş günü ücretli izin verilir.
İşyerinde işçi sayısı 101 ile 200 arasında ise yıllık en fazla 40 iş günü ücretli izin verilir.
İşyerinde işçi sayısı 201 ile 500 arasında ise yıllık en fazla 60 iş günü ücretli izin verilir.
İşyerinde işçi sayısı 501 ile 1000 arasında ise yıllık en fazla 80 iş günü ücretli izin verilir.
İşyerinde işçi sayısı 1000 işçiden fazla ise yıllık en fazla işçi sayısının % 10'u kadar iş günü ücretli sendikal izin verilir.
(6. Dönem Toplu İş Sözleşmesi / Madde 36)
b) Sendikal faaliyetler için sendikanın yazılı talebi üzerine ve işverenin hizmetlerini aksatmamak suretiyle, işçilere ayrı ayrı olmadan çalışan kişi sayısı karşılığına gelen gün kadar yıllık ücretli sendikal izin verilir.
c) Temsilcilik görevlerini yerine getirmeleri için baştemsilciye haftada 1 gün, diğer temsilcilere ayda 1’er gün ücretli sendikal izin verilir.
d) Toplu iş sözleşmesi yapmak üzere yetkisi kesinleşen sendika; 
işyerinde işçi sayısı </t>
    </r>
    <r>
      <rPr>
        <b/>
        <sz val="16"/>
        <color theme="0"/>
        <rFont val="Calibri"/>
        <family val="2"/>
        <charset val="162"/>
        <scheme val="minor"/>
      </rPr>
      <t>50’ye kadar ise 1</t>
    </r>
    <r>
      <rPr>
        <sz val="16"/>
        <color theme="0"/>
        <rFont val="Calibri"/>
        <family val="2"/>
        <charset val="162"/>
        <scheme val="minor"/>
      </rPr>
      <t xml:space="preserve">,
</t>
    </r>
    <r>
      <rPr>
        <b/>
        <sz val="16"/>
        <color theme="0"/>
        <rFont val="Calibri"/>
        <family val="2"/>
        <charset val="162"/>
        <scheme val="minor"/>
      </rPr>
      <t>51 ile 100 arasında</t>
    </r>
    <r>
      <rPr>
        <sz val="16"/>
        <color theme="0"/>
        <rFont val="Calibri"/>
        <family val="2"/>
        <charset val="162"/>
        <scheme val="minor"/>
      </rPr>
      <t xml:space="preserve"> ise </t>
    </r>
    <r>
      <rPr>
        <b/>
        <sz val="16"/>
        <color theme="0"/>
        <rFont val="Calibri"/>
        <family val="2"/>
        <charset val="162"/>
        <scheme val="minor"/>
      </rPr>
      <t>en çok 2</t>
    </r>
    <r>
      <rPr>
        <sz val="16"/>
        <color theme="0"/>
        <rFont val="Calibri"/>
        <family val="2"/>
        <charset val="162"/>
        <scheme val="minor"/>
      </rPr>
      <t xml:space="preserve">,
</t>
    </r>
    <r>
      <rPr>
        <b/>
        <sz val="16"/>
        <color theme="0"/>
        <rFont val="Calibri"/>
        <family val="2"/>
        <charset val="162"/>
        <scheme val="minor"/>
      </rPr>
      <t>101 ile 500 arasında</t>
    </r>
    <r>
      <rPr>
        <sz val="16"/>
        <color theme="0"/>
        <rFont val="Calibri"/>
        <family val="2"/>
        <charset val="162"/>
        <scheme val="minor"/>
      </rPr>
      <t xml:space="preserve"> ise </t>
    </r>
    <r>
      <rPr>
        <b/>
        <sz val="16"/>
        <color theme="0"/>
        <rFont val="Calibri"/>
        <family val="2"/>
        <charset val="162"/>
        <scheme val="minor"/>
      </rPr>
      <t>en çok 3</t>
    </r>
    <r>
      <rPr>
        <sz val="16"/>
        <color theme="0"/>
        <rFont val="Calibri"/>
        <family val="2"/>
        <charset val="162"/>
        <scheme val="minor"/>
      </rPr>
      <t xml:space="preserve">,
</t>
    </r>
    <r>
      <rPr>
        <b/>
        <sz val="16"/>
        <color theme="0"/>
        <rFont val="Calibri"/>
        <family val="2"/>
        <charset val="162"/>
        <scheme val="minor"/>
      </rPr>
      <t>501 ile 1000 arasında</t>
    </r>
    <r>
      <rPr>
        <sz val="16"/>
        <color theme="0"/>
        <rFont val="Calibri"/>
        <family val="2"/>
        <charset val="162"/>
        <scheme val="minor"/>
      </rPr>
      <t xml:space="preserve"> ise </t>
    </r>
    <r>
      <rPr>
        <b/>
        <sz val="16"/>
        <color theme="0"/>
        <rFont val="Calibri"/>
        <family val="2"/>
        <charset val="162"/>
        <scheme val="minor"/>
      </rPr>
      <t>en çok 4</t>
    </r>
    <r>
      <rPr>
        <sz val="16"/>
        <color theme="0"/>
        <rFont val="Calibri"/>
        <family val="2"/>
        <charset val="162"/>
        <scheme val="minor"/>
      </rPr>
      <t xml:space="preserve">,
</t>
    </r>
    <r>
      <rPr>
        <b/>
        <sz val="16"/>
        <color theme="0"/>
        <rFont val="Calibri"/>
        <family val="2"/>
        <charset val="162"/>
        <scheme val="minor"/>
      </rPr>
      <t>1001 ile 2000 arasında</t>
    </r>
    <r>
      <rPr>
        <sz val="16"/>
        <color theme="0"/>
        <rFont val="Calibri"/>
        <family val="2"/>
        <charset val="162"/>
        <scheme val="minor"/>
      </rPr>
      <t xml:space="preserve"> ise </t>
    </r>
    <r>
      <rPr>
        <b/>
        <sz val="16"/>
        <color theme="0"/>
        <rFont val="Calibri"/>
        <family val="2"/>
        <charset val="162"/>
        <scheme val="minor"/>
      </rPr>
      <t>en çok 6</t>
    </r>
    <r>
      <rPr>
        <sz val="16"/>
        <color theme="0"/>
        <rFont val="Calibri"/>
        <family val="2"/>
        <charset val="162"/>
        <scheme val="minor"/>
      </rPr>
      <t xml:space="preserve">,
</t>
    </r>
    <r>
      <rPr>
        <b/>
        <sz val="16"/>
        <color theme="0"/>
        <rFont val="Calibri"/>
        <family val="2"/>
        <charset val="162"/>
        <scheme val="minor"/>
      </rPr>
      <t>2000’den fazla</t>
    </r>
    <r>
      <rPr>
        <sz val="16"/>
        <color theme="0"/>
        <rFont val="Calibri"/>
        <family val="2"/>
        <charset val="162"/>
        <scheme val="minor"/>
      </rPr>
      <t xml:space="preserve"> ise </t>
    </r>
    <r>
      <rPr>
        <b/>
        <sz val="16"/>
        <color theme="0"/>
        <rFont val="Calibri"/>
        <family val="2"/>
        <charset val="162"/>
        <scheme val="minor"/>
      </rPr>
      <t>en çok 8</t>
    </r>
    <r>
      <rPr>
        <sz val="16"/>
        <color theme="0"/>
        <rFont val="Calibri"/>
        <family val="2"/>
        <charset val="162"/>
        <scheme val="minor"/>
      </rPr>
      <t xml:space="preserve"> işyeri sendika temsilcisini işyerinde çalışan üyeleri arasından atayarak </t>
    </r>
    <r>
      <rPr>
        <b/>
        <sz val="16"/>
        <color theme="0"/>
        <rFont val="Calibri"/>
        <family val="2"/>
        <charset val="162"/>
        <scheme val="minor"/>
      </rPr>
      <t>15 gün içinde</t>
    </r>
    <r>
      <rPr>
        <sz val="16"/>
        <color theme="0"/>
        <rFont val="Calibri"/>
        <family val="2"/>
        <charset val="162"/>
        <scheme val="minor"/>
      </rPr>
      <t xml:space="preserve"> kimliklerini işverene bildirir. Bunlardan </t>
    </r>
    <r>
      <rPr>
        <b/>
        <sz val="16"/>
        <color theme="0"/>
        <rFont val="Calibri"/>
        <family val="2"/>
        <charset val="162"/>
        <scheme val="minor"/>
      </rPr>
      <t>biri baş temsilci</t>
    </r>
    <r>
      <rPr>
        <sz val="16"/>
        <color theme="0"/>
        <rFont val="Calibri"/>
        <family val="2"/>
        <charset val="162"/>
        <scheme val="minor"/>
      </rPr>
      <t xml:space="preserve"> olarak görevlendirilebilir. Temsilcilerin görevi, sendikanın yetkisi süresince devam eder.
(6356 sayılı Sendikalar ve Toplu İş Sözleşmesi Kanunu / Madde 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</si>
</sst>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yyyy;@"/>
    <numFmt numFmtId="165" formatCode="0\ &quot;Gün&quot;"/>
    <numFmt numFmtId="166" formatCode="#,##0.00\ &quot;₺&quot;"/>
    <numFmt numFmtId="167" formatCode="0.000000"/>
    <numFmt numFmtId="168" formatCode="%\ 0"/>
    <numFmt numFmtId="169" formatCode="%\ 0.00"/>
    <numFmt numFmtId="170" formatCode="0.0000000"/>
    <numFmt numFmtId="171" formatCode="0.0"/>
  </numFmts>
  <fonts count="17" x14ac:knownFonts="1">
    <font>
      <sz val="11"/>
      <color rgb="FF000000"/>
      <name val="Calibri"/>
      <family val="2"/>
      <charset val="1"/>
    </font>
    <font>
      <sz val="11"/>
      <color rgb="FF000000"/>
      <name val="Calibri"/>
      <family val="2"/>
      <charset val="162"/>
    </font>
    <font>
      <sz val="11"/>
      <color rgb="FF000000"/>
      <name val="Calibri"/>
      <family val="2"/>
      <charset val="1"/>
    </font>
    <font>
      <sz val="10"/>
      <name val="Arial Tur"/>
      <charset val="162"/>
    </font>
    <font>
      <sz val="16"/>
      <name val="Calibri"/>
      <family val="2"/>
      <charset val="162"/>
      <scheme val="minor"/>
    </font>
    <font>
      <b/>
      <sz val="16"/>
      <name val="Calibri"/>
      <family val="2"/>
      <charset val="162"/>
      <scheme val="minor"/>
    </font>
    <font>
      <sz val="16"/>
      <color rgb="FFFF0000"/>
      <name val="Calibri"/>
      <family val="2"/>
      <charset val="162"/>
      <scheme val="minor"/>
    </font>
    <font>
      <sz val="20"/>
      <name val="Calibri"/>
      <family val="2"/>
      <charset val="162"/>
      <scheme val="minor"/>
    </font>
    <font>
      <sz val="20"/>
      <color rgb="FFFF0000"/>
      <name val="Calibri"/>
      <family val="2"/>
      <charset val="162"/>
      <scheme val="minor"/>
    </font>
    <font>
      <b/>
      <sz val="22"/>
      <name val="Calibri"/>
      <family val="2"/>
      <charset val="162"/>
      <scheme val="minor"/>
    </font>
    <font>
      <b/>
      <sz val="22"/>
      <color rgb="FFFF0000"/>
      <name val="Calibri"/>
      <family val="2"/>
      <charset val="162"/>
      <scheme val="minor"/>
    </font>
    <font>
      <sz val="15"/>
      <name val="Calibri"/>
      <family val="2"/>
      <charset val="162"/>
      <scheme val="minor"/>
    </font>
    <font>
      <b/>
      <sz val="14"/>
      <name val="Calibri"/>
      <family val="2"/>
      <charset val="162"/>
      <scheme val="minor"/>
    </font>
    <font>
      <sz val="16"/>
      <color theme="0"/>
      <name val="Calibri"/>
      <family val="2"/>
      <charset val="162"/>
      <scheme val="minor"/>
    </font>
    <font>
      <sz val="20"/>
      <color theme="0"/>
      <name val="Calibri"/>
      <family val="2"/>
      <charset val="162"/>
      <scheme val="minor"/>
    </font>
    <font>
      <b/>
      <sz val="16"/>
      <color theme="0"/>
      <name val="Calibri"/>
      <family val="2"/>
      <charset val="162"/>
      <scheme val="minor"/>
    </font>
    <font>
      <b/>
      <sz val="14"/>
      <color theme="0"/>
      <name val="Calibri"/>
      <family val="2"/>
      <charset val="162"/>
      <scheme val="minor"/>
    </font>
  </fonts>
  <fills count="6">
    <fill>
      <patternFill patternType="none"/>
    </fill>
    <fill>
      <patternFill patternType="gray125"/>
    </fill>
    <fill>
      <patternFill patternType="solid">
        <fgColor theme="0" tint="-0.14999847407452621"/>
        <bgColor indexed="64"/>
      </patternFill>
    </fill>
    <fill>
      <patternFill patternType="solid">
        <fgColor rgb="FFC8E1B4"/>
        <bgColor indexed="64"/>
      </patternFill>
    </fill>
    <fill>
      <patternFill patternType="solid">
        <fgColor theme="8" tint="0.79998168889431442"/>
        <bgColor indexed="64"/>
      </patternFill>
    </fill>
    <fill>
      <patternFill patternType="solid">
        <fgColor rgb="FFC8E1B4"/>
        <bgColor rgb="FFC5E0B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6">
    <xf numFmtId="0" fontId="0" fillId="0" borderId="0"/>
    <xf numFmtId="0" fontId="1" fillId="0" borderId="0"/>
    <xf numFmtId="0" fontId="3" fillId="0" borderId="0"/>
    <xf numFmtId="0" fontId="2" fillId="0" borderId="0"/>
    <xf numFmtId="9" fontId="3" fillId="0" borderId="0" applyFont="0" applyFill="0" applyBorder="0" applyAlignment="0" applyProtection="0"/>
    <xf numFmtId="0" fontId="3" fillId="0" borderId="0" applyFont="0" applyFill="0" applyBorder="0" applyAlignment="0" applyProtection="0"/>
  </cellStyleXfs>
  <cellXfs count="81">
    <xf numFmtId="0" fontId="0" fillId="0" borderId="0" xfId="0"/>
    <xf numFmtId="0" fontId="8" fillId="2" borderId="10" xfId="2" applyNumberFormat="1" applyFont="1" applyFill="1" applyBorder="1" applyAlignment="1" applyProtection="1">
      <alignment vertical="center" textRotation="90" wrapText="1"/>
      <protection hidden="1"/>
    </xf>
    <xf numFmtId="0" fontId="4" fillId="0" borderId="0" xfId="2" applyFont="1" applyAlignment="1" applyProtection="1">
      <alignment horizontal="center" vertical="center" wrapText="1"/>
      <protection hidden="1"/>
    </xf>
    <xf numFmtId="0" fontId="4" fillId="2" borderId="1" xfId="2" applyFont="1" applyFill="1" applyBorder="1" applyAlignment="1" applyProtection="1">
      <alignment horizontal="center" vertical="center" wrapText="1"/>
      <protection hidden="1"/>
    </xf>
    <xf numFmtId="0" fontId="8" fillId="2" borderId="12" xfId="2" applyNumberFormat="1" applyFont="1" applyFill="1" applyBorder="1" applyAlignment="1" applyProtection="1">
      <alignment vertical="center" textRotation="90" wrapText="1"/>
      <protection hidden="1"/>
    </xf>
    <xf numFmtId="169" fontId="11" fillId="2" borderId="1" xfId="2" applyNumberFormat="1" applyFont="1" applyFill="1" applyBorder="1" applyAlignment="1" applyProtection="1">
      <alignment horizontal="center" vertical="center" wrapText="1"/>
      <protection hidden="1"/>
    </xf>
    <xf numFmtId="2" fontId="5" fillId="2" borderId="12" xfId="0" applyNumberFormat="1" applyFont="1" applyFill="1" applyBorder="1" applyAlignment="1" applyProtection="1">
      <alignment horizontal="center" vertical="center" wrapText="1"/>
      <protection hidden="1"/>
    </xf>
    <xf numFmtId="166" fontId="9" fillId="4" borderId="1" xfId="2" applyNumberFormat="1" applyFont="1" applyFill="1" applyBorder="1" applyAlignment="1" applyProtection="1">
      <alignment horizontal="center" vertical="center" wrapText="1"/>
      <protection hidden="1"/>
    </xf>
    <xf numFmtId="166" fontId="10" fillId="4" borderId="1" xfId="2" applyNumberFormat="1" applyFont="1" applyFill="1" applyBorder="1" applyAlignment="1" applyProtection="1">
      <alignment horizontal="center" vertical="center" wrapText="1"/>
      <protection hidden="1"/>
    </xf>
    <xf numFmtId="2" fontId="5" fillId="2" borderId="1" xfId="0" applyNumberFormat="1" applyFont="1" applyFill="1" applyBorder="1" applyAlignment="1" applyProtection="1">
      <alignment horizontal="center" vertical="center" wrapText="1"/>
      <protection hidden="1"/>
    </xf>
    <xf numFmtId="4" fontId="11" fillId="2" borderId="1" xfId="2" applyNumberFormat="1" applyFont="1" applyFill="1" applyBorder="1" applyAlignment="1" applyProtection="1">
      <alignment horizontal="center" vertical="center" wrapText="1"/>
      <protection hidden="1"/>
    </xf>
    <xf numFmtId="4" fontId="12" fillId="2" borderId="1" xfId="2" applyNumberFormat="1" applyFont="1" applyFill="1" applyBorder="1" applyAlignment="1" applyProtection="1">
      <alignment horizontal="center" vertical="center" wrapText="1"/>
      <protection hidden="1"/>
    </xf>
    <xf numFmtId="4" fontId="4" fillId="2" borderId="1" xfId="2" applyNumberFormat="1" applyFont="1" applyFill="1" applyBorder="1" applyAlignment="1" applyProtection="1">
      <alignment horizontal="center" vertical="center" wrapText="1"/>
      <protection hidden="1"/>
    </xf>
    <xf numFmtId="171" fontId="4" fillId="2" borderId="1" xfId="2" applyNumberFormat="1" applyFont="1" applyFill="1" applyBorder="1" applyAlignment="1" applyProtection="1">
      <alignment horizontal="center" vertical="center" wrapText="1"/>
      <protection hidden="1"/>
    </xf>
    <xf numFmtId="1" fontId="4" fillId="2" borderId="1" xfId="2" applyNumberFormat="1" applyFont="1" applyFill="1" applyBorder="1" applyAlignment="1" applyProtection="1">
      <alignment horizontal="center" vertical="center" wrapText="1"/>
      <protection hidden="1"/>
    </xf>
    <xf numFmtId="166" fontId="9" fillId="2" borderId="1" xfId="2" applyNumberFormat="1" applyFont="1" applyFill="1" applyBorder="1" applyAlignment="1" applyProtection="1">
      <alignment horizontal="center" vertical="center" wrapText="1"/>
      <protection hidden="1"/>
    </xf>
    <xf numFmtId="166" fontId="10" fillId="2" borderId="1" xfId="2" applyNumberFormat="1" applyFont="1" applyFill="1" applyBorder="1" applyAlignment="1" applyProtection="1">
      <alignment horizontal="center" vertical="center" wrapText="1"/>
      <protection hidden="1"/>
    </xf>
    <xf numFmtId="0" fontId="4" fillId="0" borderId="0" xfId="2" applyFont="1" applyAlignment="1" applyProtection="1">
      <alignment horizontal="right" vertical="center" wrapText="1"/>
      <protection hidden="1"/>
    </xf>
    <xf numFmtId="166" fontId="14" fillId="0" borderId="0" xfId="2" applyNumberFormat="1" applyFont="1" applyFill="1" applyBorder="1" applyAlignment="1" applyProtection="1">
      <alignment horizontal="center" vertical="center" textRotation="90" wrapText="1"/>
      <protection hidden="1"/>
    </xf>
    <xf numFmtId="0" fontId="14" fillId="0" borderId="0" xfId="2" applyNumberFormat="1" applyFont="1" applyFill="1" applyBorder="1" applyAlignment="1" applyProtection="1">
      <alignment vertical="center" textRotation="90" wrapText="1"/>
      <protection hidden="1"/>
    </xf>
    <xf numFmtId="2" fontId="15" fillId="0" borderId="0" xfId="0" applyNumberFormat="1" applyFont="1" applyFill="1" applyBorder="1" applyAlignment="1" applyProtection="1">
      <alignment horizontal="center" vertical="center" wrapText="1"/>
      <protection hidden="1"/>
    </xf>
    <xf numFmtId="4" fontId="16" fillId="0" borderId="0" xfId="2" applyNumberFormat="1" applyFont="1" applyFill="1" applyBorder="1" applyAlignment="1" applyProtection="1">
      <alignment horizontal="center" vertical="center" wrapText="1"/>
      <protection hidden="1"/>
    </xf>
    <xf numFmtId="0" fontId="4" fillId="0" borderId="8" xfId="2" applyFont="1" applyBorder="1" applyAlignment="1" applyProtection="1">
      <alignment horizontal="center" vertical="center" wrapText="1"/>
      <protection hidden="1"/>
    </xf>
    <xf numFmtId="0" fontId="13" fillId="0" borderId="0" xfId="2" applyFont="1" applyFill="1" applyBorder="1" applyAlignment="1" applyProtection="1">
      <alignment horizontal="center" vertical="center" wrapText="1"/>
      <protection hidden="1"/>
    </xf>
    <xf numFmtId="166" fontId="13" fillId="0" borderId="0" xfId="2" applyNumberFormat="1"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hidden="1"/>
    </xf>
    <xf numFmtId="166" fontId="13" fillId="0" borderId="0" xfId="3" applyNumberFormat="1" applyFont="1" applyFill="1" applyBorder="1" applyAlignment="1" applyProtection="1">
      <alignment horizontal="center" vertical="center" wrapText="1"/>
      <protection hidden="1"/>
    </xf>
    <xf numFmtId="0" fontId="13" fillId="0" borderId="0" xfId="3" applyFont="1" applyFill="1" applyBorder="1" applyAlignment="1" applyProtection="1">
      <alignment horizontal="center" vertical="center" wrapText="1"/>
      <protection hidden="1"/>
    </xf>
    <xf numFmtId="2" fontId="13" fillId="0" borderId="0" xfId="3" applyNumberFormat="1" applyFont="1" applyFill="1" applyBorder="1" applyAlignment="1" applyProtection="1">
      <alignment horizontal="center" vertical="center" wrapText="1"/>
      <protection hidden="1"/>
    </xf>
    <xf numFmtId="169" fontId="13" fillId="0" borderId="0" xfId="2" applyNumberFormat="1" applyFont="1" applyFill="1" applyBorder="1" applyAlignment="1" applyProtection="1">
      <alignment horizontal="center" vertical="center" wrapText="1"/>
      <protection hidden="1"/>
    </xf>
    <xf numFmtId="164" fontId="13" fillId="0" borderId="0" xfId="2" applyNumberFormat="1" applyFont="1" applyFill="1" applyBorder="1" applyAlignment="1" applyProtection="1">
      <alignment horizontal="center" vertical="center" wrapText="1"/>
      <protection hidden="1"/>
    </xf>
    <xf numFmtId="164" fontId="13" fillId="0" borderId="0" xfId="0" applyNumberFormat="1" applyFont="1" applyFill="1" applyBorder="1" applyAlignment="1" applyProtection="1">
      <alignment horizontal="center" vertical="center" wrapText="1"/>
      <protection hidden="1"/>
    </xf>
    <xf numFmtId="165" fontId="13" fillId="0" borderId="0" xfId="0" applyNumberFormat="1" applyFont="1" applyFill="1" applyBorder="1" applyAlignment="1" applyProtection="1">
      <alignment horizontal="center" vertical="center" wrapText="1"/>
      <protection hidden="1"/>
    </xf>
    <xf numFmtId="166" fontId="13" fillId="0" borderId="0" xfId="0" applyNumberFormat="1" applyFont="1" applyFill="1" applyBorder="1" applyAlignment="1" applyProtection="1">
      <alignment horizontal="center" vertical="center" wrapText="1"/>
      <protection hidden="1"/>
    </xf>
    <xf numFmtId="2" fontId="13" fillId="0" borderId="0" xfId="2" applyNumberFormat="1" applyFont="1" applyFill="1" applyBorder="1" applyAlignment="1" applyProtection="1">
      <alignment horizontal="center" vertical="center" wrapText="1"/>
      <protection hidden="1"/>
    </xf>
    <xf numFmtId="3" fontId="13" fillId="0" borderId="0" xfId="2" applyNumberFormat="1" applyFont="1" applyFill="1" applyBorder="1" applyAlignment="1" applyProtection="1">
      <alignment horizontal="center" vertical="center" wrapText="1"/>
      <protection hidden="1"/>
    </xf>
    <xf numFmtId="0" fontId="13" fillId="0" borderId="0" xfId="0" applyFont="1" applyFill="1" applyBorder="1" applyAlignment="1" applyProtection="1">
      <alignment horizontal="right" vertical="center" wrapText="1"/>
      <protection hidden="1"/>
    </xf>
    <xf numFmtId="49" fontId="13" fillId="0" borderId="0" xfId="0" applyNumberFormat="1" applyFont="1" applyFill="1" applyBorder="1" applyAlignment="1" applyProtection="1">
      <alignment horizontal="center" vertical="center" wrapText="1"/>
      <protection hidden="1"/>
    </xf>
    <xf numFmtId="49" fontId="13" fillId="0" borderId="0" xfId="2" applyNumberFormat="1" applyFont="1" applyFill="1" applyBorder="1" applyAlignment="1" applyProtection="1">
      <alignment horizontal="center" vertical="center" wrapText="1"/>
      <protection hidden="1"/>
    </xf>
    <xf numFmtId="4" fontId="13" fillId="0" borderId="0" xfId="2" applyNumberFormat="1" applyFont="1" applyFill="1" applyBorder="1" applyAlignment="1" applyProtection="1">
      <alignment horizontal="center" vertical="center" wrapText="1"/>
      <protection hidden="1"/>
    </xf>
    <xf numFmtId="165" fontId="13" fillId="0" borderId="0" xfId="2" applyNumberFormat="1" applyFont="1" applyFill="1" applyBorder="1" applyAlignment="1" applyProtection="1">
      <alignment horizontal="center" vertical="center" wrapText="1"/>
      <protection hidden="1"/>
    </xf>
    <xf numFmtId="2" fontId="13" fillId="0" borderId="0" xfId="2" applyNumberFormat="1" applyFont="1" applyFill="1" applyBorder="1" applyAlignment="1" applyProtection="1">
      <alignment horizontal="right" vertical="center" wrapText="1"/>
      <protection hidden="1"/>
    </xf>
    <xf numFmtId="170" fontId="13" fillId="0" borderId="0" xfId="2" applyNumberFormat="1" applyFont="1" applyFill="1" applyBorder="1" applyAlignment="1" applyProtection="1">
      <alignment horizontal="center" vertical="center" wrapText="1"/>
      <protection hidden="1"/>
    </xf>
    <xf numFmtId="49" fontId="13" fillId="0" borderId="0" xfId="3" applyNumberFormat="1" applyFont="1" applyFill="1" applyBorder="1" applyAlignment="1" applyProtection="1">
      <alignment horizontal="center" vertical="center" wrapText="1"/>
      <protection hidden="1"/>
    </xf>
    <xf numFmtId="168" fontId="13" fillId="0" borderId="0" xfId="2" applyNumberFormat="1" applyFont="1" applyFill="1" applyBorder="1" applyAlignment="1" applyProtection="1">
      <alignment horizontal="center" vertical="center" wrapText="1"/>
      <protection hidden="1"/>
    </xf>
    <xf numFmtId="169" fontId="13" fillId="0" borderId="0" xfId="4" applyNumberFormat="1" applyFont="1" applyFill="1" applyBorder="1" applyAlignment="1" applyProtection="1">
      <alignment horizontal="center" vertical="center" wrapText="1"/>
      <protection hidden="1"/>
    </xf>
    <xf numFmtId="167" fontId="13" fillId="0" borderId="0" xfId="2" applyNumberFormat="1" applyFont="1" applyFill="1" applyBorder="1" applyAlignment="1" applyProtection="1">
      <alignment horizontal="center" vertical="center" wrapText="1"/>
      <protection hidden="1"/>
    </xf>
    <xf numFmtId="166" fontId="13" fillId="0" borderId="0" xfId="4" applyNumberFormat="1" applyFont="1" applyFill="1" applyBorder="1" applyAlignment="1" applyProtection="1">
      <alignment horizontal="center" vertical="center" wrapText="1"/>
      <protection hidden="1"/>
    </xf>
    <xf numFmtId="1" fontId="4" fillId="3" borderId="1" xfId="2" applyNumberFormat="1" applyFont="1" applyFill="1" applyBorder="1" applyAlignment="1" applyProtection="1">
      <alignment horizontal="center" vertical="center" wrapText="1"/>
      <protection locked="0" hidden="1"/>
    </xf>
    <xf numFmtId="171" fontId="4" fillId="3" borderId="1" xfId="3" applyNumberFormat="1" applyFont="1" applyFill="1" applyBorder="1" applyAlignment="1" applyProtection="1">
      <alignment horizontal="center" vertical="center" wrapText="1"/>
      <protection locked="0" hidden="1"/>
    </xf>
    <xf numFmtId="2" fontId="4" fillId="5" borderId="1" xfId="2" applyNumberFormat="1" applyFont="1" applyFill="1" applyBorder="1" applyAlignment="1" applyProtection="1">
      <alignment horizontal="center" vertical="center" wrapText="1"/>
      <protection locked="0" hidden="1"/>
    </xf>
    <xf numFmtId="168" fontId="4" fillId="3" borderId="1" xfId="2" applyNumberFormat="1" applyFont="1" applyFill="1" applyBorder="1" applyAlignment="1" applyProtection="1">
      <alignment horizontal="center" vertical="center" wrapText="1"/>
      <protection locked="0" hidden="1"/>
    </xf>
    <xf numFmtId="2" fontId="7" fillId="3" borderId="13" xfId="2" applyNumberFormat="1" applyFont="1" applyFill="1" applyBorder="1" applyAlignment="1" applyProtection="1">
      <alignment horizontal="center" vertical="center" textRotation="90" wrapText="1"/>
      <protection locked="0" hidden="1"/>
    </xf>
    <xf numFmtId="2" fontId="4" fillId="2" borderId="1" xfId="2" applyNumberFormat="1" applyFont="1" applyFill="1" applyBorder="1" applyAlignment="1" applyProtection="1">
      <alignment horizontal="center" textRotation="90" wrapText="1"/>
      <protection hidden="1"/>
    </xf>
    <xf numFmtId="2" fontId="4" fillId="2" borderId="1" xfId="0" applyNumberFormat="1" applyFont="1" applyFill="1" applyBorder="1" applyAlignment="1" applyProtection="1">
      <alignment horizontal="center" textRotation="90" wrapText="1"/>
      <protection hidden="1"/>
    </xf>
    <xf numFmtId="2" fontId="4" fillId="2" borderId="5" xfId="2" applyNumberFormat="1" applyFont="1" applyFill="1" applyBorder="1" applyAlignment="1" applyProtection="1">
      <alignment horizontal="center" textRotation="90" wrapText="1"/>
      <protection hidden="1"/>
    </xf>
    <xf numFmtId="2" fontId="4" fillId="2" borderId="6" xfId="2" applyNumberFormat="1" applyFont="1" applyFill="1" applyBorder="1" applyAlignment="1" applyProtection="1">
      <alignment horizontal="center" textRotation="90" wrapText="1"/>
      <protection hidden="1"/>
    </xf>
    <xf numFmtId="2" fontId="4" fillId="2" borderId="7" xfId="2" applyNumberFormat="1" applyFont="1" applyFill="1" applyBorder="1" applyAlignment="1" applyProtection="1">
      <alignment horizontal="center" textRotation="90" wrapText="1"/>
      <protection hidden="1"/>
    </xf>
    <xf numFmtId="2" fontId="4" fillId="2" borderId="8" xfId="2" applyNumberFormat="1" applyFont="1" applyFill="1" applyBorder="1" applyAlignment="1" applyProtection="1">
      <alignment horizontal="center" textRotation="90" wrapText="1"/>
      <protection hidden="1"/>
    </xf>
    <xf numFmtId="2" fontId="4" fillId="2" borderId="0" xfId="2" applyNumberFormat="1" applyFont="1" applyFill="1" applyBorder="1" applyAlignment="1" applyProtection="1">
      <alignment horizontal="center" textRotation="90" wrapText="1"/>
      <protection hidden="1"/>
    </xf>
    <xf numFmtId="2" fontId="4" fillId="2" borderId="9" xfId="2" applyNumberFormat="1" applyFont="1" applyFill="1" applyBorder="1" applyAlignment="1" applyProtection="1">
      <alignment horizontal="center" textRotation="90" wrapText="1"/>
      <protection hidden="1"/>
    </xf>
    <xf numFmtId="2" fontId="4" fillId="2" borderId="2" xfId="2" applyNumberFormat="1" applyFont="1" applyFill="1" applyBorder="1" applyAlignment="1" applyProtection="1">
      <alignment horizontal="center" textRotation="90" wrapText="1"/>
      <protection hidden="1"/>
    </xf>
    <xf numFmtId="2" fontId="4" fillId="2" borderId="3" xfId="2" applyNumberFormat="1" applyFont="1" applyFill="1" applyBorder="1" applyAlignment="1" applyProtection="1">
      <alignment horizontal="center" textRotation="90" wrapText="1"/>
      <protection hidden="1"/>
    </xf>
    <xf numFmtId="2" fontId="4" fillId="2" borderId="4" xfId="2" applyNumberFormat="1" applyFont="1" applyFill="1" applyBorder="1" applyAlignment="1" applyProtection="1">
      <alignment horizontal="center" textRotation="90"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166" fontId="8" fillId="2" borderId="11" xfId="2" applyNumberFormat="1" applyFont="1" applyFill="1" applyBorder="1" applyAlignment="1" applyProtection="1">
      <alignment horizontal="center" vertical="center" textRotation="90"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3" borderId="1" xfId="2" applyFont="1" applyFill="1" applyBorder="1" applyAlignment="1" applyProtection="1">
      <alignment horizontal="center" vertical="center" textRotation="90" wrapText="1"/>
      <protection locked="0" hidden="1"/>
    </xf>
    <xf numFmtId="0" fontId="4" fillId="2" borderId="1" xfId="2" applyFont="1" applyFill="1" applyBorder="1" applyAlignment="1" applyProtection="1">
      <alignment horizontal="center" vertical="center" wrapText="1"/>
      <protection hidden="1"/>
    </xf>
    <xf numFmtId="0" fontId="4" fillId="3" borderId="1" xfId="0" applyFont="1" applyFill="1" applyBorder="1" applyAlignment="1" applyProtection="1">
      <alignment horizontal="center" vertical="center" textRotation="90" wrapText="1"/>
      <protection locked="0" hidden="1"/>
    </xf>
    <xf numFmtId="0" fontId="4" fillId="2" borderId="5"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4" fillId="2" borderId="0" xfId="0" applyFont="1" applyFill="1" applyAlignment="1" applyProtection="1">
      <alignment horizontal="left" vertical="center" wrapText="1"/>
      <protection hidden="1"/>
    </xf>
    <xf numFmtId="0" fontId="4" fillId="2" borderId="0" xfId="0" applyFont="1" applyFill="1" applyBorder="1" applyAlignment="1" applyProtection="1">
      <alignment horizontal="center" vertical="center" wrapText="1"/>
      <protection hidden="1"/>
    </xf>
    <xf numFmtId="2" fontId="6" fillId="2" borderId="1" xfId="2" applyNumberFormat="1" applyFont="1" applyFill="1" applyBorder="1" applyAlignment="1" applyProtection="1">
      <alignment horizontal="center" textRotation="90" wrapText="1"/>
      <protection hidden="1"/>
    </xf>
  </cellXfs>
  <cellStyles count="6">
    <cellStyle name="Açıklama Metni" xfId="1" builtinId="53" customBuiltin="1"/>
    <cellStyle name="Normal" xfId="0" builtinId="0"/>
    <cellStyle name="Normal 2" xfId="2" xr:uid="{00000000-0005-0000-0000-000002000000}"/>
    <cellStyle name="Normal 2 2" xfId="3" xr:uid="{00000000-0005-0000-0000-000003000000}"/>
    <cellStyle name="Virgül 2" xfId="5" xr:uid="{00000000-0005-0000-0000-000004000000}"/>
    <cellStyle name="Yüzde 2" xfId="4" xr:uid="{00000000-0005-0000-0000-000005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FE699"/>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5E0B4"/>
      <rgbColor rgb="FFFFFF99"/>
      <rgbColor rgb="FF99CCFF"/>
      <rgbColor rgb="FFFF99CC"/>
      <rgbColor rgb="FFCC99FF"/>
      <rgbColor rgb="FFF8CBAD"/>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AEEF3"/>
      <color rgb="FFC8E1B4"/>
      <color rgb="FF003300"/>
      <color rgb="FF9933FF"/>
      <color rgb="FFAAD7E1"/>
      <color rgb="FFAAD7DC"/>
      <color rgb="FFAAD7E6"/>
      <color rgb="FFAACDE6"/>
      <color rgb="FFAFCDE6"/>
      <color rgb="FFAFE1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821142851852943"/>
          <c:y val="1.6407513119655142E-2"/>
          <c:w val="0.22938183964581099"/>
          <c:h val="0.96718497376068968"/>
        </c:manualLayout>
      </c:layout>
      <c:barChart>
        <c:barDir val="bar"/>
        <c:grouping val="clustered"/>
        <c:varyColors val="0"/>
        <c:ser>
          <c:idx val="0"/>
          <c:order val="0"/>
          <c:spPr>
            <a:solidFill>
              <a:schemeClr val="tx1"/>
            </a:solidFill>
            <a:ln>
              <a:noFill/>
            </a:ln>
            <a:effectLst/>
          </c:spPr>
          <c:invertIfNegative val="0"/>
          <c:dPt>
            <c:idx val="9"/>
            <c:invertIfNegative val="0"/>
            <c:bubble3D val="0"/>
            <c:spPr>
              <a:solidFill>
                <a:schemeClr val="tx1"/>
              </a:solidFill>
              <a:ln>
                <a:noFill/>
              </a:ln>
              <a:effectLst/>
            </c:spPr>
            <c:extLst>
              <c:ext xmlns:c16="http://schemas.microsoft.com/office/drawing/2014/chart" uri="{C3380CC4-5D6E-409C-BE32-E72D297353CC}">
                <c16:uniqueId val="{00000035-6493-4B06-88D9-6F04CDCD9F57}"/>
              </c:ext>
            </c:extLst>
          </c:dPt>
          <c:dPt>
            <c:idx val="10"/>
            <c:invertIfNegative val="0"/>
            <c:bubble3D val="0"/>
            <c:spPr>
              <a:solidFill>
                <a:srgbClr val="C00000"/>
              </a:solidFill>
              <a:ln>
                <a:noFill/>
              </a:ln>
              <a:effectLst/>
            </c:spPr>
            <c:extLst>
              <c:ext xmlns:c16="http://schemas.microsoft.com/office/drawing/2014/chart" uri="{C3380CC4-5D6E-409C-BE32-E72D297353CC}">
                <c16:uniqueId val="{00000037-6493-4B06-88D9-6F04CDCD9F57}"/>
              </c:ext>
            </c:extLst>
          </c:dPt>
          <c:dPt>
            <c:idx val="11"/>
            <c:invertIfNegative val="0"/>
            <c:bubble3D val="0"/>
            <c:spPr>
              <a:solidFill>
                <a:srgbClr val="C00000"/>
              </a:solidFill>
              <a:ln>
                <a:noFill/>
              </a:ln>
              <a:effectLst/>
            </c:spPr>
            <c:extLst>
              <c:ext xmlns:c16="http://schemas.microsoft.com/office/drawing/2014/chart" uri="{C3380CC4-5D6E-409C-BE32-E72D297353CC}">
                <c16:uniqueId val="{00000001-FE89-4E7E-8683-CE10097C8881}"/>
              </c:ext>
            </c:extLst>
          </c:dPt>
          <c:dPt>
            <c:idx val="12"/>
            <c:invertIfNegative val="0"/>
            <c:bubble3D val="0"/>
            <c:spPr>
              <a:solidFill>
                <a:srgbClr val="C00000"/>
              </a:solidFill>
              <a:ln>
                <a:noFill/>
              </a:ln>
              <a:effectLst/>
            </c:spPr>
            <c:extLst>
              <c:ext xmlns:c16="http://schemas.microsoft.com/office/drawing/2014/chart" uri="{C3380CC4-5D6E-409C-BE32-E72D297353CC}">
                <c16:uniqueId val="{00000003-FE89-4E7E-8683-CE10097C8881}"/>
              </c:ext>
            </c:extLst>
          </c:dPt>
          <c:dPt>
            <c:idx val="13"/>
            <c:invertIfNegative val="0"/>
            <c:bubble3D val="0"/>
            <c:spPr>
              <a:solidFill>
                <a:srgbClr val="C00000"/>
              </a:solidFill>
              <a:ln>
                <a:noFill/>
              </a:ln>
              <a:effectLst/>
            </c:spPr>
            <c:extLst>
              <c:ext xmlns:c16="http://schemas.microsoft.com/office/drawing/2014/chart" uri="{C3380CC4-5D6E-409C-BE32-E72D297353CC}">
                <c16:uniqueId val="{00000005-FE89-4E7E-8683-CE10097C8881}"/>
              </c:ext>
            </c:extLst>
          </c:dPt>
          <c:dPt>
            <c:idx val="14"/>
            <c:invertIfNegative val="0"/>
            <c:bubble3D val="0"/>
            <c:spPr>
              <a:solidFill>
                <a:srgbClr val="C00000"/>
              </a:solidFill>
              <a:ln>
                <a:noFill/>
              </a:ln>
              <a:effectLst/>
            </c:spPr>
            <c:extLst>
              <c:ext xmlns:c16="http://schemas.microsoft.com/office/drawing/2014/chart" uri="{C3380CC4-5D6E-409C-BE32-E72D297353CC}">
                <c16:uniqueId val="{00000007-FE89-4E7E-8683-CE10097C8881}"/>
              </c:ext>
            </c:extLst>
          </c:dPt>
          <c:dPt>
            <c:idx val="15"/>
            <c:invertIfNegative val="0"/>
            <c:bubble3D val="0"/>
            <c:spPr>
              <a:solidFill>
                <a:schemeClr val="bg1">
                  <a:lumMod val="50000"/>
                </a:schemeClr>
              </a:solidFill>
              <a:ln>
                <a:noFill/>
              </a:ln>
              <a:effectLst/>
            </c:spPr>
            <c:extLst>
              <c:ext xmlns:c16="http://schemas.microsoft.com/office/drawing/2014/chart" uri="{C3380CC4-5D6E-409C-BE32-E72D297353CC}">
                <c16:uniqueId val="{00000009-FE89-4E7E-8683-CE10097C8881}"/>
              </c:ext>
            </c:extLst>
          </c:dPt>
          <c:dPt>
            <c:idx val="16"/>
            <c:invertIfNegative val="0"/>
            <c:bubble3D val="0"/>
            <c:spPr>
              <a:solidFill>
                <a:schemeClr val="bg1">
                  <a:lumMod val="50000"/>
                </a:schemeClr>
              </a:solidFill>
              <a:ln>
                <a:noFill/>
              </a:ln>
              <a:effectLst/>
            </c:spPr>
            <c:extLst>
              <c:ext xmlns:c16="http://schemas.microsoft.com/office/drawing/2014/chart" uri="{C3380CC4-5D6E-409C-BE32-E72D297353CC}">
                <c16:uniqueId val="{0000000B-FE89-4E7E-8683-CE10097C8881}"/>
              </c:ext>
            </c:extLst>
          </c:dPt>
          <c:dPt>
            <c:idx val="17"/>
            <c:invertIfNegative val="0"/>
            <c:bubble3D val="0"/>
            <c:spPr>
              <a:solidFill>
                <a:schemeClr val="bg1">
                  <a:lumMod val="50000"/>
                </a:schemeClr>
              </a:solidFill>
              <a:ln>
                <a:noFill/>
              </a:ln>
              <a:effectLst/>
            </c:spPr>
            <c:extLst>
              <c:ext xmlns:c16="http://schemas.microsoft.com/office/drawing/2014/chart" uri="{C3380CC4-5D6E-409C-BE32-E72D297353CC}">
                <c16:uniqueId val="{0000000D-FE89-4E7E-8683-CE10097C8881}"/>
              </c:ext>
            </c:extLst>
          </c:dPt>
          <c:dPt>
            <c:idx val="20"/>
            <c:invertIfNegative val="0"/>
            <c:bubble3D val="0"/>
            <c:spPr>
              <a:solidFill>
                <a:schemeClr val="tx1"/>
              </a:solidFill>
              <a:ln>
                <a:noFill/>
              </a:ln>
              <a:effectLst/>
            </c:spPr>
            <c:extLst>
              <c:ext xmlns:c16="http://schemas.microsoft.com/office/drawing/2014/chart" uri="{C3380CC4-5D6E-409C-BE32-E72D297353CC}">
                <c16:uniqueId val="{0000000F-FE89-4E7E-8683-CE10097C8881}"/>
              </c:ext>
            </c:extLst>
          </c:dPt>
          <c:dPt>
            <c:idx val="21"/>
            <c:invertIfNegative val="0"/>
            <c:bubble3D val="0"/>
            <c:spPr>
              <a:solidFill>
                <a:schemeClr val="tx1"/>
              </a:solidFill>
              <a:ln>
                <a:noFill/>
              </a:ln>
              <a:effectLst/>
            </c:spPr>
            <c:extLst>
              <c:ext xmlns:c16="http://schemas.microsoft.com/office/drawing/2014/chart" uri="{C3380CC4-5D6E-409C-BE32-E72D297353CC}">
                <c16:uniqueId val="{00000011-FE89-4E7E-8683-CE10097C8881}"/>
              </c:ext>
            </c:extLst>
          </c:dPt>
          <c:dPt>
            <c:idx val="22"/>
            <c:invertIfNegative val="0"/>
            <c:bubble3D val="0"/>
            <c:spPr>
              <a:solidFill>
                <a:schemeClr val="tx1"/>
              </a:solidFill>
              <a:ln>
                <a:noFill/>
              </a:ln>
              <a:effectLst/>
            </c:spPr>
            <c:extLst>
              <c:ext xmlns:c16="http://schemas.microsoft.com/office/drawing/2014/chart" uri="{C3380CC4-5D6E-409C-BE32-E72D297353CC}">
                <c16:uniqueId val="{00000013-FE89-4E7E-8683-CE10097C8881}"/>
              </c:ext>
            </c:extLst>
          </c:dPt>
          <c:dPt>
            <c:idx val="23"/>
            <c:invertIfNegative val="0"/>
            <c:bubble3D val="0"/>
            <c:spPr>
              <a:solidFill>
                <a:schemeClr val="tx1"/>
              </a:solidFill>
              <a:ln>
                <a:noFill/>
              </a:ln>
              <a:effectLst/>
            </c:spPr>
            <c:extLst>
              <c:ext xmlns:c16="http://schemas.microsoft.com/office/drawing/2014/chart" uri="{C3380CC4-5D6E-409C-BE32-E72D297353CC}">
                <c16:uniqueId val="{00000015-FE89-4E7E-8683-CE10097C8881}"/>
              </c:ext>
            </c:extLst>
          </c:dPt>
          <c:dPt>
            <c:idx val="24"/>
            <c:invertIfNegative val="0"/>
            <c:bubble3D val="0"/>
            <c:spPr>
              <a:solidFill>
                <a:schemeClr val="tx1"/>
              </a:solidFill>
              <a:ln>
                <a:noFill/>
              </a:ln>
              <a:effectLst/>
            </c:spPr>
            <c:extLst>
              <c:ext xmlns:c16="http://schemas.microsoft.com/office/drawing/2014/chart" uri="{C3380CC4-5D6E-409C-BE32-E72D297353CC}">
                <c16:uniqueId val="{00000017-FE89-4E7E-8683-CE10097C8881}"/>
              </c:ext>
            </c:extLst>
          </c:dPt>
          <c:dPt>
            <c:idx val="25"/>
            <c:invertIfNegative val="0"/>
            <c:bubble3D val="0"/>
            <c:spPr>
              <a:solidFill>
                <a:schemeClr val="tx1"/>
              </a:solidFill>
              <a:ln>
                <a:noFill/>
              </a:ln>
              <a:effectLst/>
            </c:spPr>
            <c:extLst>
              <c:ext xmlns:c16="http://schemas.microsoft.com/office/drawing/2014/chart" uri="{C3380CC4-5D6E-409C-BE32-E72D297353CC}">
                <c16:uniqueId val="{00000019-FE89-4E7E-8683-CE10097C8881}"/>
              </c:ext>
            </c:extLst>
          </c:dPt>
          <c:dPt>
            <c:idx val="26"/>
            <c:invertIfNegative val="0"/>
            <c:bubble3D val="0"/>
            <c:spPr>
              <a:solidFill>
                <a:srgbClr val="C00000"/>
              </a:solidFill>
              <a:ln>
                <a:noFill/>
              </a:ln>
              <a:effectLst/>
            </c:spPr>
            <c:extLst>
              <c:ext xmlns:c16="http://schemas.microsoft.com/office/drawing/2014/chart" uri="{C3380CC4-5D6E-409C-BE32-E72D297353CC}">
                <c16:uniqueId val="{0000001B-FE89-4E7E-8683-CE10097C8881}"/>
              </c:ext>
            </c:extLst>
          </c:dPt>
          <c:dPt>
            <c:idx val="27"/>
            <c:invertIfNegative val="0"/>
            <c:bubble3D val="0"/>
            <c:spPr>
              <a:solidFill>
                <a:srgbClr val="C00000"/>
              </a:solidFill>
              <a:ln>
                <a:noFill/>
              </a:ln>
              <a:effectLst/>
            </c:spPr>
            <c:extLst>
              <c:ext xmlns:c16="http://schemas.microsoft.com/office/drawing/2014/chart" uri="{C3380CC4-5D6E-409C-BE32-E72D297353CC}">
                <c16:uniqueId val="{0000001D-FE89-4E7E-8683-CE10097C8881}"/>
              </c:ext>
            </c:extLst>
          </c:dPt>
          <c:dPt>
            <c:idx val="28"/>
            <c:invertIfNegative val="0"/>
            <c:bubble3D val="0"/>
            <c:spPr>
              <a:solidFill>
                <a:srgbClr val="C00000"/>
              </a:solidFill>
              <a:ln>
                <a:noFill/>
              </a:ln>
              <a:effectLst/>
            </c:spPr>
            <c:extLst>
              <c:ext xmlns:c16="http://schemas.microsoft.com/office/drawing/2014/chart" uri="{C3380CC4-5D6E-409C-BE32-E72D297353CC}">
                <c16:uniqueId val="{0000001F-FE89-4E7E-8683-CE10097C8881}"/>
              </c:ext>
            </c:extLst>
          </c:dPt>
          <c:dPt>
            <c:idx val="29"/>
            <c:invertIfNegative val="0"/>
            <c:bubble3D val="0"/>
            <c:spPr>
              <a:solidFill>
                <a:srgbClr val="C00000"/>
              </a:solidFill>
              <a:ln>
                <a:noFill/>
              </a:ln>
              <a:effectLst/>
            </c:spPr>
            <c:extLst>
              <c:ext xmlns:c16="http://schemas.microsoft.com/office/drawing/2014/chart" uri="{C3380CC4-5D6E-409C-BE32-E72D297353CC}">
                <c16:uniqueId val="{00000021-FE89-4E7E-8683-CE10097C8881}"/>
              </c:ext>
            </c:extLst>
          </c:dPt>
          <c:dPt>
            <c:idx val="30"/>
            <c:invertIfNegative val="0"/>
            <c:bubble3D val="0"/>
            <c:spPr>
              <a:solidFill>
                <a:srgbClr val="C00000"/>
              </a:solidFill>
              <a:ln>
                <a:noFill/>
              </a:ln>
              <a:effectLst/>
            </c:spPr>
            <c:extLst>
              <c:ext xmlns:c16="http://schemas.microsoft.com/office/drawing/2014/chart" uri="{C3380CC4-5D6E-409C-BE32-E72D297353CC}">
                <c16:uniqueId val="{00000023-FE89-4E7E-8683-CE10097C8881}"/>
              </c:ext>
            </c:extLst>
          </c:dPt>
          <c:dPt>
            <c:idx val="31"/>
            <c:invertIfNegative val="0"/>
            <c:bubble3D val="0"/>
            <c:spPr>
              <a:solidFill>
                <a:srgbClr val="C00000"/>
              </a:solidFill>
              <a:ln>
                <a:noFill/>
              </a:ln>
              <a:effectLst/>
            </c:spPr>
            <c:extLst>
              <c:ext xmlns:c16="http://schemas.microsoft.com/office/drawing/2014/chart" uri="{C3380CC4-5D6E-409C-BE32-E72D297353CC}">
                <c16:uniqueId val="{00000025-FE89-4E7E-8683-CE10097C8881}"/>
              </c:ext>
            </c:extLst>
          </c:dPt>
          <c:dPt>
            <c:idx val="32"/>
            <c:invertIfNegative val="0"/>
            <c:bubble3D val="0"/>
            <c:spPr>
              <a:solidFill>
                <a:srgbClr val="C00000"/>
              </a:solidFill>
              <a:ln>
                <a:noFill/>
              </a:ln>
              <a:effectLst/>
            </c:spPr>
            <c:extLst>
              <c:ext xmlns:c16="http://schemas.microsoft.com/office/drawing/2014/chart" uri="{C3380CC4-5D6E-409C-BE32-E72D297353CC}">
                <c16:uniqueId val="{00000027-FE89-4E7E-8683-CE10097C8881}"/>
              </c:ext>
            </c:extLst>
          </c:dPt>
          <c:dPt>
            <c:idx val="33"/>
            <c:invertIfNegative val="0"/>
            <c:bubble3D val="0"/>
            <c:spPr>
              <a:solidFill>
                <a:srgbClr val="C00000"/>
              </a:solidFill>
              <a:ln>
                <a:noFill/>
              </a:ln>
              <a:effectLst/>
            </c:spPr>
            <c:extLst>
              <c:ext xmlns:c16="http://schemas.microsoft.com/office/drawing/2014/chart" uri="{C3380CC4-5D6E-409C-BE32-E72D297353CC}">
                <c16:uniqueId val="{00000029-FE89-4E7E-8683-CE10097C8881}"/>
              </c:ext>
            </c:extLst>
          </c:dPt>
          <c:dPt>
            <c:idx val="34"/>
            <c:invertIfNegative val="0"/>
            <c:bubble3D val="0"/>
            <c:spPr>
              <a:solidFill>
                <a:srgbClr val="C00000"/>
              </a:solidFill>
              <a:ln>
                <a:noFill/>
              </a:ln>
              <a:effectLst/>
            </c:spPr>
            <c:extLst>
              <c:ext xmlns:c16="http://schemas.microsoft.com/office/drawing/2014/chart" uri="{C3380CC4-5D6E-409C-BE32-E72D297353CC}">
                <c16:uniqueId val="{0000002B-FE89-4E7E-8683-CE10097C8881}"/>
              </c:ext>
            </c:extLst>
          </c:dPt>
          <c:dPt>
            <c:idx val="35"/>
            <c:invertIfNegative val="0"/>
            <c:bubble3D val="0"/>
            <c:spPr>
              <a:solidFill>
                <a:srgbClr val="C00000"/>
              </a:solidFill>
              <a:ln>
                <a:noFill/>
              </a:ln>
              <a:effectLst/>
            </c:spPr>
            <c:extLst>
              <c:ext xmlns:c16="http://schemas.microsoft.com/office/drawing/2014/chart" uri="{C3380CC4-5D6E-409C-BE32-E72D297353CC}">
                <c16:uniqueId val="{0000002D-FE89-4E7E-8683-CE10097C8881}"/>
              </c:ext>
            </c:extLst>
          </c:dPt>
          <c:dPt>
            <c:idx val="36"/>
            <c:invertIfNegative val="0"/>
            <c:bubble3D val="0"/>
            <c:spPr>
              <a:solidFill>
                <a:srgbClr val="C00000"/>
              </a:solidFill>
              <a:ln>
                <a:noFill/>
              </a:ln>
              <a:effectLst/>
            </c:spPr>
            <c:extLst>
              <c:ext xmlns:c16="http://schemas.microsoft.com/office/drawing/2014/chart" uri="{C3380CC4-5D6E-409C-BE32-E72D297353CC}">
                <c16:uniqueId val="{0000002F-FE89-4E7E-8683-CE10097C8881}"/>
              </c:ext>
            </c:extLst>
          </c:dPt>
          <c:dPt>
            <c:idx val="37"/>
            <c:invertIfNegative val="0"/>
            <c:bubble3D val="0"/>
            <c:spPr>
              <a:solidFill>
                <a:srgbClr val="C00000"/>
              </a:solidFill>
              <a:ln>
                <a:noFill/>
              </a:ln>
              <a:effectLst/>
            </c:spPr>
            <c:extLst>
              <c:ext xmlns:c16="http://schemas.microsoft.com/office/drawing/2014/chart" uri="{C3380CC4-5D6E-409C-BE32-E72D297353CC}">
                <c16:uniqueId val="{00000031-FE89-4E7E-8683-CE10097C8881}"/>
              </c:ext>
            </c:extLst>
          </c:dPt>
          <c:dPt>
            <c:idx val="38"/>
            <c:invertIfNegative val="0"/>
            <c:bubble3D val="0"/>
            <c:spPr>
              <a:solidFill>
                <a:schemeClr val="bg1">
                  <a:lumMod val="50000"/>
                </a:schemeClr>
              </a:solidFill>
              <a:ln>
                <a:noFill/>
              </a:ln>
              <a:effectLst/>
            </c:spPr>
            <c:extLst>
              <c:ext xmlns:c16="http://schemas.microsoft.com/office/drawing/2014/chart" uri="{C3380CC4-5D6E-409C-BE32-E72D297353CC}">
                <c16:uniqueId val="{00000033-FE89-4E7E-8683-CE10097C8881}"/>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'Özet Tablo'!$V$1:$V$17</c:f>
              <c:strCache>
                <c:ptCount val="17"/>
                <c:pt idx="0">
                  <c:v>Normal Çalışma</c:v>
                </c:pt>
                <c:pt idx="1">
                  <c:v>Kıdem Yardımı</c:v>
                </c:pt>
                <c:pt idx="2">
                  <c:v>Fazla Çalışma (% 40)</c:v>
                </c:pt>
                <c:pt idx="3">
                  <c:v>Resmi Tatillerde Çalışma (% 100)</c:v>
                </c:pt>
                <c:pt idx="4">
                  <c:v>Yemek Yardımı</c:v>
                </c:pt>
                <c:pt idx="5">
                  <c:v>Ulaşım Yardımı</c:v>
                </c:pt>
                <c:pt idx="6">
                  <c:v>İkramiye Yardımı</c:v>
                </c:pt>
                <c:pt idx="7">
                  <c:v>Sosyal Yardım</c:v>
                </c:pt>
                <c:pt idx="8">
                  <c:v>Görev Primi</c:v>
                </c:pt>
                <c:pt idx="9">
                  <c:v>Nakdi Yardımlar</c:v>
                </c:pt>
                <c:pt idx="10">
                  <c:v>Sendika Üyelik Aidatı Kesintisi</c:v>
                </c:pt>
                <c:pt idx="11">
                  <c:v>BES Kesintisi</c:v>
                </c:pt>
                <c:pt idx="12">
                  <c:v>Damga Vergisi Kesintisi</c:v>
                </c:pt>
                <c:pt idx="13">
                  <c:v>SGK Prim Kesintisi</c:v>
                </c:pt>
                <c:pt idx="14">
                  <c:v>SGK İşsizlik Primi Kesintisi</c:v>
                </c:pt>
                <c:pt idx="15">
                  <c:v>Gelir Vergisi Kesintisi</c:v>
                </c:pt>
                <c:pt idx="16">
                  <c:v>İşveren Maliyeti</c:v>
                </c:pt>
              </c:strCache>
            </c:strRef>
          </c:cat>
          <c:val>
            <c:numRef>
              <c:f>'Özet Tablo'!$W$1:$W$17</c:f>
              <c:numCache>
                <c:formatCode>#,##0.00\ "₺"</c:formatCode>
                <c:ptCount val="17"/>
                <c:pt idx="0">
                  <c:v>53239.364999999998</c:v>
                </c:pt>
                <c:pt idx="1">
                  <c:v>0</c:v>
                </c:pt>
                <c:pt idx="2">
                  <c:v>23873.508749999997</c:v>
                </c:pt>
                <c:pt idx="3">
                  <c:v>0</c:v>
                </c:pt>
                <c:pt idx="4">
                  <c:v>8038.333333333333</c:v>
                </c:pt>
                <c:pt idx="5">
                  <c:v>2094.0277777777778</c:v>
                </c:pt>
                <c:pt idx="6">
                  <c:v>17910.3</c:v>
                </c:pt>
                <c:pt idx="7">
                  <c:v>4823.0780533333318</c:v>
                </c:pt>
                <c:pt idx="8">
                  <c:v>0</c:v>
                </c:pt>
                <c:pt idx="9">
                  <c:v>0</c:v>
                </c:pt>
                <c:pt idx="10">
                  <c:v>1868.5408530288103</c:v>
                </c:pt>
                <c:pt idx="11">
                  <c:v>0</c:v>
                </c:pt>
                <c:pt idx="12">
                  <c:v>721.08639837656222</c:v>
                </c:pt>
                <c:pt idx="13">
                  <c:v>17572.656180557999</c:v>
                </c:pt>
                <c:pt idx="14">
                  <c:v>1255.1897271827143</c:v>
                </c:pt>
                <c:pt idx="15">
                  <c:v>0</c:v>
                </c:pt>
                <c:pt idx="16">
                  <c:v>151149.67725575689</c:v>
                </c:pt>
              </c:numCache>
            </c:numRef>
          </c:val>
          <c:extLst>
            <c:ext xmlns:c16="http://schemas.microsoft.com/office/drawing/2014/chart" uri="{C3380CC4-5D6E-409C-BE32-E72D297353CC}">
              <c16:uniqueId val="{00000034-FE89-4E7E-8683-CE10097C8881}"/>
            </c:ext>
          </c:extLst>
        </c:ser>
        <c:dLbls>
          <c:dLblPos val="outEnd"/>
          <c:showLegendKey val="0"/>
          <c:showVal val="1"/>
          <c:showCatName val="0"/>
          <c:showSerName val="0"/>
          <c:showPercent val="0"/>
          <c:showBubbleSize val="0"/>
        </c:dLbls>
        <c:gapWidth val="182"/>
        <c:axId val="552148752"/>
        <c:axId val="552147112"/>
      </c:barChart>
      <c:catAx>
        <c:axId val="552148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tr-TR"/>
          </a:p>
        </c:txPr>
        <c:crossAx val="552147112"/>
        <c:crosses val="autoZero"/>
        <c:auto val="1"/>
        <c:lblAlgn val="ctr"/>
        <c:lblOffset val="100"/>
        <c:tickMarkSkip val="1"/>
        <c:noMultiLvlLbl val="0"/>
      </c:catAx>
      <c:valAx>
        <c:axId val="552147112"/>
        <c:scaling>
          <c:orientation val="minMax"/>
        </c:scaling>
        <c:delete val="1"/>
        <c:axPos val="t"/>
        <c:numFmt formatCode="#,##0.00\ &quot;₺&quot;" sourceLinked="1"/>
        <c:majorTickMark val="out"/>
        <c:minorTickMark val="none"/>
        <c:tickLblPos val="nextTo"/>
        <c:crossAx val="552148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600"/>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explosion val="4"/>
            <c:spPr>
              <a:solidFill>
                <a:schemeClr val="tx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C6E-4BC0-BD60-84EDBF8BE7A3}"/>
              </c:ext>
            </c:extLst>
          </c:dPt>
          <c:dPt>
            <c:idx val="1"/>
            <c:bubble3D val="0"/>
            <c:explosion val="5"/>
            <c:spPr>
              <a:solidFill>
                <a:srgbClr val="C00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C6E-4BC0-BD60-84EDBF8BE7A3}"/>
              </c:ext>
            </c:extLst>
          </c:dPt>
          <c:dLbls>
            <c:dLbl>
              <c:idx val="0"/>
              <c:layout>
                <c:manualLayout>
                  <c:x val="0"/>
                  <c:y val="-0.2727330235099843"/>
                </c:manualLayout>
              </c:layout>
              <c:tx>
                <c:rich>
                  <a:bodyPr rot="0" spcFirstLastPara="1" vertOverflow="ellipsis" vert="horz" wrap="square" lIns="0" tIns="0" rIns="0" bIns="0" anchor="ctr" anchorCtr="0">
                    <a:noAutofit/>
                  </a:bodyPr>
                  <a:lstStyle/>
                  <a:p>
                    <a:pPr lvl="1" algn="ctr" rtl="0">
                      <a:defRPr sz="2000" b="1" i="0" u="none" strike="noStrike" kern="1200" baseline="0">
                        <a:solidFill>
                          <a:sysClr val="windowText" lastClr="000000"/>
                        </a:solidFill>
                        <a:latin typeface="+mn-lt"/>
                        <a:ea typeface="+mn-ea"/>
                        <a:cs typeface="+mn-cs"/>
                      </a:defRPr>
                    </a:pPr>
                    <a:r>
                      <a:rPr lang="en-US" sz="2000" i="0" u="sng" baseline="0">
                        <a:solidFill>
                          <a:sysClr val="windowText" lastClr="000000"/>
                        </a:solidFill>
                      </a:rPr>
                      <a:t>Kazançlar</a:t>
                    </a:r>
                  </a:p>
                  <a:p>
                    <a:pPr lvl="1" algn="ctr" rtl="0">
                      <a:defRPr sz="2000" b="1" i="0" u="none" strike="noStrike" kern="1200" baseline="0">
                        <a:solidFill>
                          <a:sysClr val="windowText" lastClr="000000"/>
                        </a:solidFill>
                        <a:latin typeface="+mn-lt"/>
                        <a:ea typeface="+mn-ea"/>
                        <a:cs typeface="+mn-cs"/>
                      </a:defRPr>
                    </a:pPr>
                    <a:fld id="{18CB9E8E-A975-43C0-A56F-BEEBC923E687}" type="VALU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[DEĞER]</a:t>
                    </a:fld>
                    <a:endParaRPr lang="en-US" sz="2000" i="0" baseline="0">
                      <a:solidFill>
                        <a:sysClr val="windowText" lastClr="000000"/>
                      </a:solidFill>
                    </a:endParaRPr>
                  </a:p>
                  <a:p>
                    <a:pPr lvl="1" algn="ctr" rtl="0">
                      <a:defRPr sz="2000" b="1" i="0" u="none" strike="noStrike" kern="1200" baseline="0">
                        <a:solidFill>
                          <a:sysClr val="windowText" lastClr="000000"/>
                        </a:solidFill>
                        <a:latin typeface="+mn-lt"/>
                        <a:ea typeface="+mn-ea"/>
                        <a:cs typeface="+mn-cs"/>
                      </a:defRPr>
                    </a:pPr>
                    <a:fld id="{ED1D6583-AC77-4CB8-8AE1-8BB6A6F10BE5}" type="PERCENTAG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2"/>
                    </c:manualLayout>
                  </c15:layout>
                  <c15:dlblFieldTable/>
                  <c15:showDataLabelsRange val="0"/>
                </c:ext>
                <c:ext xmlns:c16="http://schemas.microsoft.com/office/drawing/2014/chart" uri="{C3380CC4-5D6E-409C-BE32-E72D297353CC}">
                  <c16:uniqueId val="{00000001-AC6E-4BC0-BD60-84EDBF8BE7A3}"/>
                </c:ext>
              </c:extLst>
            </c:dLbl>
            <c:dLbl>
              <c:idx val="1"/>
              <c:layout>
                <c:manualLayout>
                  <c:x val="0"/>
                  <c:y val="0.28660887761598208"/>
                </c:manualLayout>
              </c:layout>
              <c:tx>
                <c:rich>
                  <a:bodyPr rot="0" spcFirstLastPara="1" vertOverflow="ellipsis" vert="horz" wrap="square" lIns="0" tIns="0" rIns="0" bIns="0" anchor="t" anchorCtr="0">
                    <a:noAutofit/>
                  </a:bodyPr>
                  <a:lstStyle/>
                  <a:p>
                    <a:pPr lvl="1" algn="ctr" rtl="0">
                      <a:defRPr sz="2000" b="1" i="0" u="none" strike="noStrike" kern="1200" baseline="0">
                        <a:solidFill>
                          <a:srgbClr val="C00000"/>
                        </a:solidFill>
                        <a:latin typeface="+mn-lt"/>
                        <a:ea typeface="+mn-ea"/>
                        <a:cs typeface="+mn-cs"/>
                      </a:defRPr>
                    </a:pPr>
                    <a:r>
                      <a:rPr lang="en-US" sz="2000" b="1" i="0" u="sng" strike="noStrike" baseline="0">
                        <a:solidFill>
                          <a:srgbClr val="C00000"/>
                        </a:solidFill>
                      </a:rPr>
                      <a:t>Kesintiler</a:t>
                    </a:r>
                    <a:br>
                      <a:rPr lang="en-US" sz="2000" b="1" i="0" u="none" strike="noStrike" baseline="0">
                        <a:solidFill>
                          <a:srgbClr val="C00000"/>
                        </a:solidFill>
                      </a:rPr>
                    </a:br>
                    <a:fld id="{D48269F3-90DB-4B96-9E27-A88140910F88}" type="VALUE">
                      <a:rPr lang="en-US" sz="2000">
                        <a:solidFill>
                          <a:srgbClr val="C00000"/>
                        </a:solidFill>
                      </a:rPr>
                      <a:pPr lvl="1" algn="ctr" rtl="0">
                        <a:defRPr sz="2000" b="1" i="0" u="none" strike="noStrike" kern="1200" baseline="0">
                          <a:solidFill>
                            <a:srgbClr val="C00000"/>
                          </a:solidFill>
                          <a:latin typeface="+mn-lt"/>
                          <a:ea typeface="+mn-ea"/>
                          <a:cs typeface="+mn-cs"/>
                        </a:defRPr>
                      </a:pPr>
                      <a:t>[DEĞER]</a:t>
                    </a:fld>
                    <a:endParaRPr lang="en-US" sz="2000" baseline="0">
                      <a:solidFill>
                        <a:srgbClr val="C00000"/>
                      </a:solidFill>
                    </a:endParaRPr>
                  </a:p>
                  <a:p>
                    <a:pPr lvl="1" algn="ctr" rtl="0">
                      <a:defRPr sz="2000" b="1" i="0" u="none" strike="noStrike" kern="1200" baseline="0">
                        <a:solidFill>
                          <a:srgbClr val="C00000"/>
                        </a:solidFill>
                        <a:latin typeface="+mn-lt"/>
                        <a:ea typeface="+mn-ea"/>
                        <a:cs typeface="+mn-cs"/>
                      </a:defRPr>
                    </a:pPr>
                    <a:fld id="{C4F91586-97B1-4B5B-B426-9B699746C01D}" type="PERCENTAGE">
                      <a:rPr lang="en-US" sz="2000">
                        <a:solidFill>
                          <a:srgbClr val="C00000"/>
                        </a:solidFill>
                      </a:rPr>
                      <a:pPr lvl="1" algn="ctr" rtl="0">
                        <a:defRPr sz="2000" b="1" i="0" u="none" strike="noStrike" kern="1200" baseline="0">
                          <a:solidFill>
                            <a:srgbClr val="C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18251962962962964"/>
                    </c:manualLayout>
                  </c15:layout>
                  <c15:dlblFieldTable/>
                  <c15:showDataLabelsRange val="0"/>
                </c:ext>
                <c:ext xmlns:c16="http://schemas.microsoft.com/office/drawing/2014/chart" uri="{C3380CC4-5D6E-409C-BE32-E72D297353CC}">
                  <c16:uniqueId val="{00000003-AC6E-4BC0-BD60-84EDBF8BE7A3}"/>
                </c:ext>
              </c:extLst>
            </c:dLbl>
            <c:numFmt formatCode="%\ 0.00" sourceLinked="0"/>
            <c:spPr>
              <a:noFill/>
              <a:ln>
                <a:noFill/>
              </a:ln>
              <a:effectLst/>
            </c:spPr>
            <c:txPr>
              <a:bodyPr rot="0" spcFirstLastPara="1" vertOverflow="ellipsis" vert="horz" wrap="square" lIns="0" tIns="0" rIns="0" bIns="0" anchor="ctr" anchorCtr="0">
                <a:spAutoFit/>
              </a:bodyPr>
              <a:lstStyle/>
              <a:p>
                <a:pPr algn="ctr">
                  <a:defRPr sz="1300" b="1" i="0" u="none" strike="noStrike" kern="1200" baseline="0">
                    <a:solidFill>
                      <a:schemeClr val="lt1"/>
                    </a:solidFill>
                    <a:latin typeface="+mn-lt"/>
                    <a:ea typeface="+mn-ea"/>
                    <a:cs typeface="+mn-cs"/>
                  </a:defRPr>
                </a:pPr>
                <a:endParaRPr lang="tr-TR"/>
              </a:p>
            </c:txPr>
            <c:dLblPos val="ct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'Özet Tablo'!$V$18:$V$19</c:f>
              <c:strCache>
                <c:ptCount val="2"/>
                <c:pt idx="0">
                  <c:v>Kazançlar</c:v>
                </c:pt>
                <c:pt idx="1">
                  <c:v>Kesintiler</c:v>
                </c:pt>
              </c:strCache>
            </c:strRef>
          </c:cat>
          <c:val>
            <c:numRef>
              <c:f>'Özet Tablo'!$W$18:$W$19</c:f>
              <c:numCache>
                <c:formatCode>#,##0.00\ "₺"</c:formatCode>
                <c:ptCount val="2"/>
                <c:pt idx="0">
                  <c:v>108324.73907755512</c:v>
                </c:pt>
                <c:pt idx="1">
                  <c:v>13319.943507520584</c:v>
                </c:pt>
              </c:numCache>
            </c:numRef>
          </c:val>
          <c:extLst>
            <c:ext xmlns:c16="http://schemas.microsoft.com/office/drawing/2014/chart" uri="{C3380CC4-5D6E-409C-BE32-E72D297353CC}">
              <c16:uniqueId val="{00000004-AC6E-4BC0-BD60-84EDBF8BE7A3}"/>
            </c:ext>
          </c:extLst>
        </c:ser>
        <c:dLbls>
          <c:dLblPos val="inEnd"/>
          <c:showLegendKey val="0"/>
          <c:showVal val="1"/>
          <c:showCatName val="1"/>
          <c:showSerName val="0"/>
          <c:showPercent val="0"/>
          <c:showBubbleSize val="0"/>
          <c:showLeaderLines val="0"/>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no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15</xdr:col>
      <xdr:colOff>53463</xdr:colOff>
      <xdr:row>0</xdr:row>
      <xdr:rowOff>70921</xdr:rowOff>
    </xdr:from>
    <xdr:to>
      <xdr:col>15</xdr:col>
      <xdr:colOff>7290954</xdr:colOff>
      <xdr:row>27</xdr:row>
      <xdr:rowOff>398319</xdr:rowOff>
    </xdr:to>
    <xdr:graphicFrame macro="">
      <xdr:nvGraphicFramePr>
        <xdr:cNvPr id="2" name="Grafik 1">
          <a:extLst>
            <a:ext uri="{FF2B5EF4-FFF2-40B4-BE49-F238E27FC236}">
              <a16:creationId xmlns:a16="http://schemas.microsoft.com/office/drawing/2014/main" id="{ADF0F1E4-7F68-4D14-9A3E-03CE9476E7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4966692</xdr:colOff>
      <xdr:row>8</xdr:row>
      <xdr:rowOff>125886</xdr:rowOff>
    </xdr:from>
    <xdr:to>
      <xdr:col>15</xdr:col>
      <xdr:colOff>7306692</xdr:colOff>
      <xdr:row>19</xdr:row>
      <xdr:rowOff>1768</xdr:rowOff>
    </xdr:to>
    <xdr:graphicFrame macro="">
      <xdr:nvGraphicFramePr>
        <xdr:cNvPr id="3" name="Grafik 2">
          <a:extLst>
            <a:ext uri="{FF2B5EF4-FFF2-40B4-BE49-F238E27FC236}">
              <a16:creationId xmlns:a16="http://schemas.microsoft.com/office/drawing/2014/main" id="{895F717D-3D22-422A-B11A-7FF0FFB19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PrintsWithSheet="0"/>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FL363"/>
  <sheetViews>
    <sheetView showGridLines="0" showRowColHeaders="0" tabSelected="1" showWhiteSpace="0" zoomScale="50" zoomScaleNormal="50" zoomScaleSheetLayoutView="40" zoomScalePageLayoutView="55" workbookViewId="0">
      <pane xSplit="2" topLeftCell="C1" activePane="topRight" state="frozen"/>
      <selection pane="topRight" sqref="A1:A14"/>
    </sheetView>
  </sheetViews>
  <sheetFormatPr defaultColWidth="0" defaultRowHeight="0" customHeight="1" zeroHeight="1" x14ac:dyDescent="0.25"/>
  <cols>
    <col min="1" max="11" width="12.7109375" style="2" customWidth="1"/>
    <col min="12" max="14" width="30.7109375" style="2" customWidth="1"/>
    <col min="15" max="15" width="12.7109375" style="2" customWidth="1"/>
    <col min="16" max="16" width="110.7109375" style="2" customWidth="1"/>
    <col min="17" max="17" width="12.7109375" style="2" customWidth="1"/>
    <col min="18" max="18" width="5.7109375" style="2" customWidth="1"/>
    <col min="19" max="19" width="80.7109375" style="2" customWidth="1"/>
    <col min="20" max="20" width="5.7109375" style="2" customWidth="1"/>
    <col min="21" max="21" width="1.7109375" style="22" customWidth="1"/>
    <col min="22" max="24" width="0.140625" style="23" customWidth="1"/>
    <col min="25" max="49" width="5.7109375" style="23" hidden="1" customWidth="1"/>
    <col min="50" max="52" width="20.7109375" style="23" hidden="1" customWidth="1"/>
    <col min="53" max="53" width="1.7109375" style="2" customWidth="1"/>
    <col min="54" max="168" width="0" style="2" hidden="1" customWidth="1"/>
    <col min="169" max="16384" width="5.7109375" style="2" hidden="1"/>
  </cols>
  <sheetData>
    <row r="1" spans="1:52" ht="39.950000000000003" customHeight="1" x14ac:dyDescent="0.25">
      <c r="A1" s="52" t="s">
        <v>87</v>
      </c>
      <c r="B1" s="1"/>
      <c r="C1" s="53" t="s">
        <v>56</v>
      </c>
      <c r="D1" s="53" t="s">
        <v>81</v>
      </c>
      <c r="E1" s="54" t="s">
        <v>82</v>
      </c>
      <c r="F1" s="53" t="s">
        <v>57</v>
      </c>
      <c r="G1" s="55" t="s">
        <v>58</v>
      </c>
      <c r="H1" s="56"/>
      <c r="I1" s="57"/>
      <c r="J1" s="53" t="s">
        <v>76</v>
      </c>
      <c r="K1" s="53" t="s">
        <v>84</v>
      </c>
      <c r="L1" s="53" t="s">
        <v>71</v>
      </c>
      <c r="M1" s="53" t="s">
        <v>83</v>
      </c>
      <c r="N1" s="80" t="s">
        <v>69</v>
      </c>
      <c r="O1" s="71" t="s">
        <v>55</v>
      </c>
      <c r="P1" s="72"/>
      <c r="Q1" s="73" t="s">
        <v>42</v>
      </c>
      <c r="R1" s="74"/>
      <c r="S1" s="75"/>
      <c r="T1" s="76"/>
      <c r="U1" s="64"/>
      <c r="V1" s="23" t="s">
        <v>31</v>
      </c>
      <c r="W1" s="24">
        <f t="shared" ref="W1:W19" si="0">IF(X1&gt;0,X1,X1*-1)</f>
        <v>53239.364999999998</v>
      </c>
      <c r="X1" s="24">
        <f>COUNTIF(O1,"Ocak")*(AM15)
+COUNTIF(O1,"Şubat")*(AM16)
+COUNTIF(O1,"Mart")*(AM17)
+COUNTIF(O1,"Nisan")*(AM18)
+COUNTIF(O1,"Mayıs")*(AM19)
+COUNTIF(O1,"Haziran")*(AM20)
+COUNTIF(O1,"Temmuz")*(AM21)
+COUNTIF(O1,"Ağustos")*(AM22)
+COUNTIF(O1,"Eylül")*(AM23)
+COUNTIF(O1,"Ekim")*(AM24)
+COUNTIF(O1,"Kasım")*(AM25)
+COUNTIF(O1,"Aralık")*(AM26)
+COUNTIF(O1,"Yıllık Toplam")*(AM27)
+COUNTIF(O1,"Yıllık Ortalama")*(AM28)</f>
        <v>53239.364999999998</v>
      </c>
      <c r="Y1" s="25"/>
      <c r="Z1" s="19"/>
      <c r="AA1" s="23" t="s">
        <v>85</v>
      </c>
      <c r="AB1" s="24">
        <v>2011.78</v>
      </c>
      <c r="AC1" s="24">
        <v>2373.9</v>
      </c>
      <c r="AD1" s="24">
        <v>2706.25</v>
      </c>
      <c r="AE1" s="24">
        <f t="shared" ref="AE1:AE12" si="1">(AF1/AR75)</f>
        <v>24749.243242601588</v>
      </c>
      <c r="AF1" s="24">
        <f t="shared" ref="AF1:AF12" si="2">(AK15/8*1.4*D15)</f>
        <v>20849.010000000002</v>
      </c>
      <c r="AG1" s="24">
        <f t="shared" ref="AG1:AG12" si="3">(AH1/AR75)</f>
        <v>0</v>
      </c>
      <c r="AH1" s="24">
        <f t="shared" ref="AH1:AH12" si="4">(AK15/8*2*E15)</f>
        <v>0</v>
      </c>
      <c r="AI1" s="24">
        <f t="shared" ref="AI1:AI12" ca="1" si="5">(AJ1+AN1*-1+AE29*-1+AF29*-1+AJ29*-1)</f>
        <v>6310.3525</v>
      </c>
      <c r="AJ1" s="24">
        <f>(230*F15)</f>
        <v>5980</v>
      </c>
      <c r="AK1" s="24">
        <f t="shared" ref="AK1:AK12" ca="1" si="6">ROUND((AJ1+AN1*-1+AE29*-1+AF29*-1+AJ29*-1),2)</f>
        <v>6310.35</v>
      </c>
      <c r="AL1" s="24">
        <f t="shared" ref="AL1" ca="1" si="7">(AK1)</f>
        <v>6310.35</v>
      </c>
      <c r="AM1" s="24">
        <f t="shared" ref="AM1" ca="1" si="8">IF(AK1-AL1&lt;=0,0,AK1-AL1)</f>
        <v>0</v>
      </c>
      <c r="AN1" s="24">
        <f t="shared" ref="AN1" ca="1" si="9">(AM1*0.00759*-1)</f>
        <v>0</v>
      </c>
      <c r="AO1" s="24">
        <f t="shared" ref="AO1" ca="1" si="10">(AK1)</f>
        <v>6310.35</v>
      </c>
      <c r="AP1" s="24">
        <f t="shared" ref="AP1:AP6" ca="1" si="11">IF($AC$16*F15&gt;=AO1,AO1,$AC$16*F15)</f>
        <v>4108</v>
      </c>
      <c r="AQ1" s="24">
        <f t="shared" ref="AQ1" ca="1" si="12">(AO1-AP1)</f>
        <v>2202.3500000000004</v>
      </c>
      <c r="AR1" s="26">
        <f t="shared" ref="AR1:AR12" si="13">COUNTIF(K15,"Yok")*(0)
+COUNTIF(K15,"1. Derece")*($AA$39)
+COUNTIF(K15,"2. Derece")*($AA$40)
+COUNTIF(K15,"3. Derece")*($AA$41)</f>
        <v>0</v>
      </c>
      <c r="AS1" s="24">
        <f t="shared" ref="AS1:AS12" ca="1" si="14">(AR30)</f>
        <v>94413.287333790358</v>
      </c>
      <c r="AT1" s="24">
        <f ca="1">(AS1*0.205)</f>
        <v>19354.723903427021</v>
      </c>
      <c r="AU1" s="24">
        <f ca="1">(AS1*0.01)</f>
        <v>944.13287333790356</v>
      </c>
      <c r="AV1" s="24">
        <f ca="1">(AS1*0.05*-1)</f>
        <v>-4720.6643666895179</v>
      </c>
      <c r="AW1" s="24">
        <f ca="1">(AS1+AT1+AU1+AV1)</f>
        <v>109991.47974386576</v>
      </c>
    </row>
    <row r="2" spans="1:52" ht="39.950000000000003" customHeight="1" x14ac:dyDescent="0.25">
      <c r="A2" s="52"/>
      <c r="B2" s="67">
        <f>COUNTIF($A$1,"Kaptan / Makinist")*($AB$1)
+COUNTIF($A$1,"Güverte Lostromosu")*($AB$2)
+COUNTIF($A$1,"(%100) Gemici / Yağcı")*($AB$3)
+COUNTIF($A$1,"(%95) Gemici / Yağcı")*($AB$4)</f>
        <v>1527.4</v>
      </c>
      <c r="C2" s="53"/>
      <c r="D2" s="53"/>
      <c r="E2" s="54"/>
      <c r="F2" s="53"/>
      <c r="G2" s="58"/>
      <c r="H2" s="59"/>
      <c r="I2" s="60"/>
      <c r="J2" s="53"/>
      <c r="K2" s="53"/>
      <c r="L2" s="53"/>
      <c r="M2" s="53"/>
      <c r="N2" s="80"/>
      <c r="O2" s="71"/>
      <c r="P2" s="72"/>
      <c r="Q2" s="73"/>
      <c r="R2" s="77"/>
      <c r="S2" s="78" t="str">
        <f>IF($Q$1="Analık Hâli İzni",$W$20,
IF($Q$1="Annelik İzni",$W$21,
IF($Q$1="Babalık İzni",$W$22,
IF($Q$1="Cenaze İzni",$W$23,
IF($Q$1="Doğal Afet İzni",$W$24,
IF($Q$1="Engelli Çocuk İzni",$W$25,
IF($Q$1="Evlat Edinme İzni",$W$26,
IF($Q$1="Evlilik İzni",$W$27,
IF($Q$1="İş Arama İzni",$W$28,
IF($Q$1="Mazeret İzni",$W$29,
IF($Q$1="Süt İzni",$W$30,
IF($Q$1="Ücretli Sendikal İzin ve Sendika Temsilci Sayısı",$W$31,
IF($Q$1="Ücretli Yıllık İzin",$W$32,
IF($Q$1="Yol İzni",$W$33))))))))))))))</f>
        <v>a) Hizmeti 6 ay olanlar için 15 iş günü ücretli yıllık izin verilir.
Hizmeti 1-5 yıl olanlar için 30 iş günü ücretli yıllık izin verilir.
Hizmeti 5-10 yıl olanlar için 30 iş günü ücretli yıllık izin verilir.
Hizmeti 10-15 yıl olanlar için 30 iş günü ücretli yıllık izin verilir.
Hizmeti 15 yıldan fazla olanlar için 30 iş günü ücretli yıllık izin verilir.
b) Aynı işveren emrinde veya aynı gemide bir takvim yılı içinde bir veya birkaç hizmet aktine dayanarak en az altı ay çalışmış olan gemiadamı, yıllık ücretli izine hak kazanır.
İzin süresi, altı aydan bir yıla kadar hizmeti olan gemiadamları için 15 günden ve bir yıl ve daha fazla hizmeti olanlar için yılda bir aydan az olamaz.
İzin işverenin uygun göreceği bir zamanda kullanılır. Bu haktan feragat edilemez.
Bir aylık izin, tarafların rızasiyle aynı yıl içinde kullanılmak suretiyle ikiye bölünebilir.
Gemiadamı, yıllık ücretli iznini yabancı bir memleket limanında veya hizmet aktinin yapılmış bulunduğu mahalden gayri bir yerde kullanmaya zorlanamaz.
Gemiadamı, dilerse, işveren veya işveren vekilinden ücretli izne ilişkin olarak 7 güne kadar ücretsiz yol izni de istiyebilir.
Gemiadamının hakettiği yıllık ücretli izni kullanmadan hizmet akti 14 üncü maddenin II, III ve IV üncü bentlerine göre bozulursa, işveren veya işveren vekili izin süresine ait ücreti, gemiadamına ödemek zorundadır.
(854 sayılı Deniz İş Kanunu / Madde 40)</v>
      </c>
      <c r="T2" s="79"/>
      <c r="U2" s="65"/>
      <c r="V2" s="23" t="s">
        <v>4</v>
      </c>
      <c r="W2" s="24">
        <f t="shared" si="0"/>
        <v>0</v>
      </c>
      <c r="X2" s="24">
        <f>COUNTIF(O1,"Ocak")*(AO15)
+COUNTIF(O1,"Şubat")*(AO16)
+COUNTIF(O1,"Mart")*(AO17)
+COUNTIF(O1,"Nisan")*(AO18)
+COUNTIF(O1,"Mayıs")*(AO19)
+COUNTIF(O1,"Haziran")*(AO20)
+COUNTIF(O1,"Temmuz")*(AO21)
+COUNTIF(O1,"Ağustos")*(AO22)
+COUNTIF(O1,"Eylül")*(AO23)
+COUNTIF(O1,"Ekim")*(AO24)
+COUNTIF(O1,"Kasım")*(AO25)
+COUNTIF(O1,"Aralık")*(AO26)
+COUNTIF(O1,"Yıllık Toplam")*(AO27)
+COUNTIF(O1,"Yıllık Ortalama")*(AO28)</f>
        <v>0</v>
      </c>
      <c r="Y2" s="25"/>
      <c r="Z2" s="18"/>
      <c r="AA2" s="23" t="s">
        <v>86</v>
      </c>
      <c r="AB2" s="24">
        <v>1548.5</v>
      </c>
      <c r="AC2" s="24">
        <v>1827.23</v>
      </c>
      <c r="AD2" s="24">
        <v>2083.04</v>
      </c>
      <c r="AE2" s="24">
        <f t="shared" si="1"/>
        <v>24749.243242601588</v>
      </c>
      <c r="AF2" s="24">
        <f t="shared" si="2"/>
        <v>20849.010000000002</v>
      </c>
      <c r="AG2" s="24">
        <f t="shared" si="3"/>
        <v>0</v>
      </c>
      <c r="AH2" s="24">
        <f t="shared" si="4"/>
        <v>0</v>
      </c>
      <c r="AI2" s="24">
        <f t="shared" ca="1" si="5"/>
        <v>6310.3525</v>
      </c>
      <c r="AJ2" s="24">
        <f>(230*F16)</f>
        <v>5980</v>
      </c>
      <c r="AK2" s="24">
        <f t="shared" ca="1" si="6"/>
        <v>6310.35</v>
      </c>
      <c r="AL2" s="24">
        <f t="shared" ref="AL2" ca="1" si="15">(AK2)</f>
        <v>6310.35</v>
      </c>
      <c r="AM2" s="24">
        <f t="shared" ref="AM2" ca="1" si="16">IF(AK2-AL2&lt;=0,0,AK2-AL2)</f>
        <v>0</v>
      </c>
      <c r="AN2" s="24">
        <f t="shared" ref="AN2" ca="1" si="17">(AM2*0.00759*-1)</f>
        <v>0</v>
      </c>
      <c r="AO2" s="24">
        <f t="shared" ref="AO2" ca="1" si="18">(AK2)</f>
        <v>6310.35</v>
      </c>
      <c r="AP2" s="24">
        <f t="shared" ca="1" si="11"/>
        <v>4108</v>
      </c>
      <c r="AQ2" s="24">
        <f t="shared" ref="AQ2" ca="1" si="19">(AO2-AP2)</f>
        <v>2202.3500000000004</v>
      </c>
      <c r="AR2" s="26">
        <f t="shared" si="13"/>
        <v>0</v>
      </c>
      <c r="AS2" s="24">
        <f t="shared" ca="1" si="14"/>
        <v>89343.863498207531</v>
      </c>
      <c r="AT2" s="24">
        <f t="shared" ref="AT2:AT12" ca="1" si="20">(AS2*0.205)</f>
        <v>18315.492017132543</v>
      </c>
      <c r="AU2" s="24">
        <f t="shared" ref="AU2:AU12" ca="1" si="21">(AS2*0.01)</f>
        <v>893.43863498207531</v>
      </c>
      <c r="AV2" s="24">
        <f t="shared" ref="AV2:AV12" ca="1" si="22">(AS2*0.05*-1)</f>
        <v>-4467.1931749103769</v>
      </c>
      <c r="AW2" s="24">
        <f t="shared" ref="AW2:AW12" ca="1" si="23">(AS2+AT2+AU2+AV2)</f>
        <v>104085.60097541177</v>
      </c>
      <c r="AX2" s="23">
        <v>0</v>
      </c>
      <c r="AY2" s="27">
        <v>0</v>
      </c>
      <c r="AZ2" s="28">
        <v>0</v>
      </c>
    </row>
    <row r="3" spans="1:52" ht="39.950000000000003" customHeight="1" x14ac:dyDescent="0.25">
      <c r="A3" s="52"/>
      <c r="B3" s="67"/>
      <c r="C3" s="53"/>
      <c r="D3" s="53"/>
      <c r="E3" s="54"/>
      <c r="F3" s="53"/>
      <c r="G3" s="58"/>
      <c r="H3" s="59"/>
      <c r="I3" s="60"/>
      <c r="J3" s="53"/>
      <c r="K3" s="53"/>
      <c r="L3" s="53"/>
      <c r="M3" s="53"/>
      <c r="N3" s="80"/>
      <c r="O3" s="71"/>
      <c r="P3" s="72"/>
      <c r="Q3" s="73"/>
      <c r="R3" s="77"/>
      <c r="S3" s="78"/>
      <c r="T3" s="79"/>
      <c r="U3" s="65"/>
      <c r="V3" s="23" t="s">
        <v>79</v>
      </c>
      <c r="W3" s="24">
        <f t="shared" si="0"/>
        <v>23873.508749999997</v>
      </c>
      <c r="X3" s="24">
        <f>COUNTIF(O1,"Ocak")*(AF1)
+COUNTIF(O1,"Şubat")*(AF2)
+COUNTIF(O1,"Mart")*(AF3)
+COUNTIF(O1,"Nisan")*(AF4)
+COUNTIF(O1,"Mayıs")*(AF5)
+COUNTIF(O1,"Haziran")*(AF6)
+COUNTIF(O1,"Temmuz")*(AF7)
+COUNTIF(O1,"Ağustos")*(AF8)
+COUNTIF(O1,"Eylül")*(AF9)
+COUNTIF(O1,"Ekim")*(AF10)
+COUNTIF(O1,"Kasım")*(AF11)
+COUNTIF(O1,"Aralık")*(AF12)
+COUNTIF(O1,"Yıllık Toplam")*(AF13)
+COUNTIF(O1,"Yıllık Ortalama")*(AF14)</f>
        <v>23873.508749999997</v>
      </c>
      <c r="Y3" s="25"/>
      <c r="Z3" s="18"/>
      <c r="AA3" s="23" t="s">
        <v>87</v>
      </c>
      <c r="AB3" s="24">
        <v>1527.4</v>
      </c>
      <c r="AC3" s="24">
        <v>1802.33</v>
      </c>
      <c r="AD3" s="24">
        <v>2054.66</v>
      </c>
      <c r="AE3" s="24">
        <f t="shared" si="1"/>
        <v>24749.243242601588</v>
      </c>
      <c r="AF3" s="24">
        <f t="shared" si="2"/>
        <v>20849.010000000002</v>
      </c>
      <c r="AG3" s="24">
        <f t="shared" si="3"/>
        <v>0</v>
      </c>
      <c r="AH3" s="24">
        <f t="shared" si="4"/>
        <v>0</v>
      </c>
      <c r="AI3" s="24">
        <f t="shared" ca="1" si="5"/>
        <v>9216.2345000000005</v>
      </c>
      <c r="AJ3" s="24">
        <f t="shared" ref="AJ3:AJ12" si="24">(325*F17)</f>
        <v>8450</v>
      </c>
      <c r="AK3" s="24">
        <f t="shared" ca="1" si="6"/>
        <v>9216.23</v>
      </c>
      <c r="AL3" s="24">
        <f t="shared" ref="AL3:AL12" ca="1" si="25">(AK3)</f>
        <v>9216.23</v>
      </c>
      <c r="AM3" s="24">
        <f t="shared" ref="AM3:AM12" ca="1" si="26">IF(AK3-AL3&lt;=0,0,AK3-AL3)</f>
        <v>0</v>
      </c>
      <c r="AN3" s="24">
        <f t="shared" ref="AN3:AN12" ca="1" si="27">(AM3*0.00759*-1)</f>
        <v>0</v>
      </c>
      <c r="AO3" s="24">
        <f t="shared" ref="AO3:AO12" ca="1" si="28">(AK3)</f>
        <v>9216.23</v>
      </c>
      <c r="AP3" s="24">
        <f t="shared" ca="1" si="11"/>
        <v>4108</v>
      </c>
      <c r="AQ3" s="24">
        <f t="shared" ref="AQ3:AQ12" ca="1" si="29">(AO3-AP3)</f>
        <v>5108.2299999999996</v>
      </c>
      <c r="AR3" s="26">
        <f t="shared" si="13"/>
        <v>0</v>
      </c>
      <c r="AS3" s="24">
        <f t="shared" ca="1" si="14"/>
        <v>152083.08080999157</v>
      </c>
      <c r="AT3" s="24">
        <f t="shared" ca="1" si="20"/>
        <v>31177.03156604827</v>
      </c>
      <c r="AU3" s="24">
        <f t="shared" ca="1" si="21"/>
        <v>1520.8308080999157</v>
      </c>
      <c r="AV3" s="24">
        <f t="shared" ca="1" si="22"/>
        <v>-7604.1540404995794</v>
      </c>
      <c r="AW3" s="24">
        <f t="shared" ca="1" si="23"/>
        <v>177176.78914364017</v>
      </c>
      <c r="AX3" s="23">
        <v>1</v>
      </c>
      <c r="AY3" s="27">
        <v>0.5</v>
      </c>
      <c r="AZ3" s="28">
        <v>0.03</v>
      </c>
    </row>
    <row r="4" spans="1:52" ht="39.950000000000003" customHeight="1" x14ac:dyDescent="0.25">
      <c r="A4" s="52"/>
      <c r="B4" s="67"/>
      <c r="C4" s="53"/>
      <c r="D4" s="53"/>
      <c r="E4" s="54"/>
      <c r="F4" s="53"/>
      <c r="G4" s="58"/>
      <c r="H4" s="59"/>
      <c r="I4" s="60"/>
      <c r="J4" s="53"/>
      <c r="K4" s="53"/>
      <c r="L4" s="53"/>
      <c r="M4" s="53"/>
      <c r="N4" s="80"/>
      <c r="O4" s="71"/>
      <c r="P4" s="72"/>
      <c r="Q4" s="73"/>
      <c r="R4" s="77"/>
      <c r="S4" s="78"/>
      <c r="T4" s="79"/>
      <c r="U4" s="65"/>
      <c r="V4" s="23" t="s">
        <v>80</v>
      </c>
      <c r="W4" s="24">
        <f t="shared" si="0"/>
        <v>0</v>
      </c>
      <c r="X4" s="24">
        <f>COUNTIF(O1,"Ocak")*(AH1)
+COUNTIF(O1,"Şubat")*(AH2)
+COUNTIF(O1,"Mart")*(AH3)
+COUNTIF(O1,"Nisan")*(AH4)
+COUNTIF(O1,"Mayıs")*(AH5)
+COUNTIF(O1,"Haziran")*(AH6)
+COUNTIF(O1,"Temmuz")*(AH7)
+COUNTIF(O1,"Ağustos")*(AH8)
+COUNTIF(O1,"Eylül")*(AH9)
+COUNTIF(O1,"Ekim")*(AH10)
+COUNTIF(O1,"Kasım")*(AH11)
+COUNTIF(O1,"Aralık")*(AH12)
+COUNTIF(O1,"Yıllık Toplam")*(AH13)
+COUNTIF(O1,"Yıllık Ortalama")*(AH14)</f>
        <v>0</v>
      </c>
      <c r="Y4" s="25"/>
      <c r="Z4" s="18"/>
      <c r="AA4" s="23" t="s">
        <v>89</v>
      </c>
      <c r="AB4" s="24">
        <v>1451.03</v>
      </c>
      <c r="AC4" s="24">
        <v>1712.21</v>
      </c>
      <c r="AD4" s="24">
        <v>1951.93</v>
      </c>
      <c r="AE4" s="24">
        <f t="shared" si="1"/>
        <v>24749.243242601588</v>
      </c>
      <c r="AF4" s="24">
        <f t="shared" si="2"/>
        <v>20849.010000000002</v>
      </c>
      <c r="AG4" s="24">
        <f t="shared" si="3"/>
        <v>0</v>
      </c>
      <c r="AH4" s="24">
        <f t="shared" si="4"/>
        <v>0</v>
      </c>
      <c r="AI4" s="24">
        <f t="shared" ca="1" si="5"/>
        <v>9216.2345000000005</v>
      </c>
      <c r="AJ4" s="24">
        <f t="shared" si="24"/>
        <v>8450</v>
      </c>
      <c r="AK4" s="24">
        <f t="shared" ca="1" si="6"/>
        <v>9216.23</v>
      </c>
      <c r="AL4" s="24">
        <f t="shared" ca="1" si="25"/>
        <v>9216.23</v>
      </c>
      <c r="AM4" s="24">
        <f t="shared" ca="1" si="26"/>
        <v>0</v>
      </c>
      <c r="AN4" s="24">
        <f t="shared" ca="1" si="27"/>
        <v>0</v>
      </c>
      <c r="AO4" s="24">
        <f t="shared" ca="1" si="28"/>
        <v>9216.23</v>
      </c>
      <c r="AP4" s="24">
        <f t="shared" ca="1" si="11"/>
        <v>4108</v>
      </c>
      <c r="AQ4" s="24">
        <f t="shared" ca="1" si="29"/>
        <v>5108.2299999999996</v>
      </c>
      <c r="AR4" s="26">
        <f t="shared" si="13"/>
        <v>0</v>
      </c>
      <c r="AS4" s="24">
        <f t="shared" ca="1" si="14"/>
        <v>95876.008244376266</v>
      </c>
      <c r="AT4" s="24">
        <f t="shared" ca="1" si="20"/>
        <v>19654.581690097133</v>
      </c>
      <c r="AU4" s="24">
        <f t="shared" ca="1" si="21"/>
        <v>958.76008244376271</v>
      </c>
      <c r="AV4" s="24">
        <f t="shared" ca="1" si="22"/>
        <v>-4793.8004122188131</v>
      </c>
      <c r="AW4" s="24">
        <f t="shared" ca="1" si="23"/>
        <v>111695.54960469835</v>
      </c>
      <c r="AX4" s="23">
        <v>2</v>
      </c>
      <c r="AY4" s="27">
        <v>1</v>
      </c>
      <c r="AZ4" s="28">
        <v>0.04</v>
      </c>
    </row>
    <row r="5" spans="1:52" ht="39.950000000000003" customHeight="1" x14ac:dyDescent="0.25">
      <c r="A5" s="52"/>
      <c r="B5" s="67"/>
      <c r="C5" s="53"/>
      <c r="D5" s="53"/>
      <c r="E5" s="54"/>
      <c r="F5" s="53"/>
      <c r="G5" s="58"/>
      <c r="H5" s="59"/>
      <c r="I5" s="60"/>
      <c r="J5" s="53"/>
      <c r="K5" s="53"/>
      <c r="L5" s="53"/>
      <c r="M5" s="53"/>
      <c r="N5" s="80"/>
      <c r="O5" s="71"/>
      <c r="P5" s="72"/>
      <c r="Q5" s="73"/>
      <c r="R5" s="77"/>
      <c r="S5" s="78"/>
      <c r="T5" s="79"/>
      <c r="U5" s="65"/>
      <c r="V5" s="23" t="s">
        <v>7</v>
      </c>
      <c r="W5" s="24">
        <f t="shared" si="0"/>
        <v>8038.333333333333</v>
      </c>
      <c r="X5" s="24">
        <f>COUNTIF(O1,"Ocak")*(AJ1)
+COUNTIF(O1,"Şubat")*(AJ2)
+COUNTIF(O1,"Mart")*(AJ3)
+COUNTIF(O1,"Nisan")*(AJ4)
+COUNTIF(O1,"Mayıs")*(AJ5)
+COUNTIF(O1,"Haziran")*(AJ6)
+COUNTIF(O1,"Temmuz")*(AJ7)
+COUNTIF(O1,"Ağustos")*(AJ8)
+COUNTIF(O1,"Eylül")*(AJ9)
+COUNTIF(O1,"Ekim")*(AJ10)
+COUNTIF(O1,"Kasım")*(AJ11)
+COUNTIF(O1,"Aralık")*(AJ12)
+COUNTIF(O1,"Yıllık Toplam")*(AJ13)
+COUNTIF(O1,"Yıllık Ortalama")*(AJ14)</f>
        <v>8038.333333333333</v>
      </c>
      <c r="Y5" s="25"/>
      <c r="Z5" s="18"/>
      <c r="AA5" s="29">
        <f>(10%)</f>
        <v>0.1</v>
      </c>
      <c r="AB5" s="23" t="s">
        <v>0</v>
      </c>
      <c r="AC5" s="24">
        <f>($AC$11*$AA$5)</f>
        <v>2600.5500000000002</v>
      </c>
      <c r="AD5" s="24">
        <f>($AD$11*$AA$5)</f>
        <v>2600.5500000000002</v>
      </c>
      <c r="AE5" s="24">
        <f t="shared" si="1"/>
        <v>24749.243242601588</v>
      </c>
      <c r="AF5" s="24">
        <f t="shared" si="2"/>
        <v>20849.010000000002</v>
      </c>
      <c r="AG5" s="24">
        <f t="shared" si="3"/>
        <v>0</v>
      </c>
      <c r="AH5" s="24">
        <f t="shared" si="4"/>
        <v>0</v>
      </c>
      <c r="AI5" s="24">
        <f t="shared" ca="1" si="5"/>
        <v>9216.2345000000005</v>
      </c>
      <c r="AJ5" s="24">
        <f t="shared" si="24"/>
        <v>8450</v>
      </c>
      <c r="AK5" s="24">
        <f t="shared" ca="1" si="6"/>
        <v>9216.23</v>
      </c>
      <c r="AL5" s="24">
        <f t="shared" ca="1" si="25"/>
        <v>9216.23</v>
      </c>
      <c r="AM5" s="24">
        <f t="shared" ca="1" si="26"/>
        <v>0</v>
      </c>
      <c r="AN5" s="24">
        <f t="shared" ca="1" si="27"/>
        <v>0</v>
      </c>
      <c r="AO5" s="24">
        <f t="shared" ca="1" si="28"/>
        <v>9216.23</v>
      </c>
      <c r="AP5" s="24">
        <f t="shared" ca="1" si="11"/>
        <v>4108</v>
      </c>
      <c r="AQ5" s="24">
        <f t="shared" ca="1" si="29"/>
        <v>5108.2299999999996</v>
      </c>
      <c r="AR5" s="26">
        <f t="shared" si="13"/>
        <v>0</v>
      </c>
      <c r="AS5" s="24">
        <f t="shared" ca="1" si="14"/>
        <v>97689.139617460634</v>
      </c>
      <c r="AT5" s="24">
        <f t="shared" ca="1" si="20"/>
        <v>20026.273621579428</v>
      </c>
      <c r="AU5" s="24">
        <f t="shared" ca="1" si="21"/>
        <v>976.89139617460637</v>
      </c>
      <c r="AV5" s="24">
        <f t="shared" ca="1" si="22"/>
        <v>-4884.4569808730321</v>
      </c>
      <c r="AW5" s="24">
        <f t="shared" ca="1" si="23"/>
        <v>113807.84765434163</v>
      </c>
      <c r="AX5" s="23">
        <v>3</v>
      </c>
      <c r="AY5" s="27">
        <v>1.5</v>
      </c>
      <c r="AZ5" s="28">
        <v>0.05</v>
      </c>
    </row>
    <row r="6" spans="1:52" ht="39.950000000000003" customHeight="1" x14ac:dyDescent="0.25">
      <c r="A6" s="52"/>
      <c r="B6" s="67">
        <f>COUNTIF($A$1,"Kaptan / Makinist")*($AC$1)
+COUNTIF($A$1,"Güverte Lostromosu")*($AC$2)
+COUNTIF($A$1,"(%100) Gemici / Yağcı")*($AC$3)
+COUNTIF($A$1,"(%95) Gemici / Yağcı")*($AC$4)</f>
        <v>1802.33</v>
      </c>
      <c r="C6" s="53"/>
      <c r="D6" s="53"/>
      <c r="E6" s="54"/>
      <c r="F6" s="53"/>
      <c r="G6" s="58"/>
      <c r="H6" s="59"/>
      <c r="I6" s="60"/>
      <c r="J6" s="53"/>
      <c r="K6" s="53"/>
      <c r="L6" s="53"/>
      <c r="M6" s="53"/>
      <c r="N6" s="80"/>
      <c r="O6" s="71"/>
      <c r="P6" s="72"/>
      <c r="Q6" s="73"/>
      <c r="R6" s="77"/>
      <c r="S6" s="78"/>
      <c r="T6" s="79"/>
      <c r="U6" s="65"/>
      <c r="V6" s="23" t="s">
        <v>30</v>
      </c>
      <c r="W6" s="24">
        <f t="shared" si="0"/>
        <v>2094.0277777777778</v>
      </c>
      <c r="X6" s="24">
        <f>COUNTIF(O1,"Ocak")*(AM29)
+COUNTIF(O1,"Şubat")*(AM30)
+COUNTIF(O1,"Mart")*(AM31)
+COUNTIF(O1,"Nisan")*(AM32)
+COUNTIF(O1,"Mayıs")*(AM33)
+COUNTIF(O1,"Haziran")*(AM34)
+COUNTIF(O1,"Temmuz")*(AM35)
+COUNTIF(O1,"Ağustos")*(AM36)
+COUNTIF(O1,"Eylül")*(AM37)
+COUNTIF(O1,"Ekim")*(AM38)
+COUNTIF(O1,"Kasım")*(AM39)
+COUNTIF(O1,"Aralık")*(AM40)
+COUNTIF(O1,"Yıllık Toplam")*(AM41)
+COUNTIF(O1,"Yıllık Ortalama")*(AM42)</f>
        <v>2094.0277777777778</v>
      </c>
      <c r="Y6" s="25"/>
      <c r="Z6" s="18"/>
      <c r="AA6" s="29">
        <f>(2%)</f>
        <v>0.02</v>
      </c>
      <c r="AB6" s="23" t="s">
        <v>0</v>
      </c>
      <c r="AC6" s="24">
        <f>($AC$11*$AA$6)</f>
        <v>520.11</v>
      </c>
      <c r="AD6" s="24">
        <f>($AD$11*$AA$6)</f>
        <v>520.11</v>
      </c>
      <c r="AE6" s="24">
        <f t="shared" si="1"/>
        <v>24749.243242601588</v>
      </c>
      <c r="AF6" s="24">
        <f t="shared" si="2"/>
        <v>20849.010000000002</v>
      </c>
      <c r="AG6" s="24">
        <f t="shared" si="3"/>
        <v>0</v>
      </c>
      <c r="AH6" s="24">
        <f t="shared" si="4"/>
        <v>0</v>
      </c>
      <c r="AI6" s="24">
        <f t="shared" ca="1" si="5"/>
        <v>9216.2345000000005</v>
      </c>
      <c r="AJ6" s="24">
        <f t="shared" si="24"/>
        <v>8450</v>
      </c>
      <c r="AK6" s="24">
        <f t="shared" ca="1" si="6"/>
        <v>9216.23</v>
      </c>
      <c r="AL6" s="24">
        <f t="shared" ca="1" si="25"/>
        <v>9216.23</v>
      </c>
      <c r="AM6" s="24">
        <f t="shared" ca="1" si="26"/>
        <v>0</v>
      </c>
      <c r="AN6" s="24">
        <f t="shared" ca="1" si="27"/>
        <v>0</v>
      </c>
      <c r="AO6" s="24">
        <f t="shared" ca="1" si="28"/>
        <v>9216.23</v>
      </c>
      <c r="AP6" s="24">
        <f t="shared" ca="1" si="11"/>
        <v>4108</v>
      </c>
      <c r="AQ6" s="24">
        <f t="shared" ca="1" si="29"/>
        <v>5108.2299999999996</v>
      </c>
      <c r="AR6" s="26">
        <f t="shared" si="13"/>
        <v>0</v>
      </c>
      <c r="AS6" s="24">
        <f t="shared" ca="1" si="14"/>
        <v>150269.94943690722</v>
      </c>
      <c r="AT6" s="24">
        <f t="shared" ca="1" si="20"/>
        <v>30805.339634565978</v>
      </c>
      <c r="AU6" s="24">
        <f t="shared" ca="1" si="21"/>
        <v>1502.6994943690722</v>
      </c>
      <c r="AV6" s="24">
        <f t="shared" ca="1" si="22"/>
        <v>-7513.4974718453614</v>
      </c>
      <c r="AW6" s="24">
        <f t="shared" ca="1" si="23"/>
        <v>175064.49109399691</v>
      </c>
      <c r="AX6" s="23">
        <v>4</v>
      </c>
      <c r="AY6" s="27">
        <v>2</v>
      </c>
      <c r="AZ6" s="28">
        <v>0.06</v>
      </c>
    </row>
    <row r="7" spans="1:52" ht="39.950000000000003" customHeight="1" x14ac:dyDescent="0.25">
      <c r="A7" s="52"/>
      <c r="B7" s="67"/>
      <c r="C7" s="53"/>
      <c r="D7" s="53"/>
      <c r="E7" s="54"/>
      <c r="F7" s="53"/>
      <c r="G7" s="58"/>
      <c r="H7" s="59"/>
      <c r="I7" s="60"/>
      <c r="J7" s="53"/>
      <c r="K7" s="53"/>
      <c r="L7" s="53"/>
      <c r="M7" s="53"/>
      <c r="N7" s="80"/>
      <c r="O7" s="71"/>
      <c r="P7" s="72"/>
      <c r="Q7" s="73"/>
      <c r="R7" s="77"/>
      <c r="S7" s="78"/>
      <c r="T7" s="79"/>
      <c r="U7" s="65"/>
      <c r="V7" s="23" t="s">
        <v>35</v>
      </c>
      <c r="W7" s="24">
        <f t="shared" si="0"/>
        <v>17910.3</v>
      </c>
      <c r="X7" s="24">
        <f>COUNTIF(O1,"Ocak")*(AP29)
+COUNTIF(O1,"Şubat")*(AP30)
+COUNTIF(O1,"Mart")*(AP31)
+COUNTIF(O1,"Nisan")*(AP32)
+COUNTIF(O1,"Mayıs")*(AP33)
+COUNTIF(O1,"Haziran")*(AP34)
+COUNTIF(O1,"Temmuz")*(AP35)
+COUNTIF(O1,"Ağustos")*(AP36)
+COUNTIF(O1,"Eylül")*(AP37)
+COUNTIF(O1,"Ekim")*(AP38)
+COUNTIF(O1,"Kasım")*(AP39)
+COUNTIF(O1,"Aralık")*(AP40)
+COUNTIF(O1,"Yıllık Toplam")*(AP41)
+COUNTIF(O1,"Yıllık Ortalama")*(AP42)</f>
        <v>17910.3</v>
      </c>
      <c r="Y7" s="25"/>
      <c r="Z7" s="18"/>
      <c r="AA7" s="29">
        <f>(1%)</f>
        <v>0.01</v>
      </c>
      <c r="AB7" s="23" t="s">
        <v>0</v>
      </c>
      <c r="AC7" s="24">
        <f>($AC$11*$AA$7)</f>
        <v>260.05500000000001</v>
      </c>
      <c r="AD7" s="24">
        <f>($AD$11*$AA$7)</f>
        <v>260.05500000000001</v>
      </c>
      <c r="AE7" s="24">
        <f t="shared" si="1"/>
        <v>29204.07461924716</v>
      </c>
      <c r="AF7" s="24">
        <f t="shared" si="2"/>
        <v>24601.804499999998</v>
      </c>
      <c r="AG7" s="24">
        <f t="shared" si="3"/>
        <v>0</v>
      </c>
      <c r="AH7" s="24">
        <f t="shared" si="4"/>
        <v>0</v>
      </c>
      <c r="AI7" s="24">
        <f t="shared" ca="1" si="5"/>
        <v>9216.2345000000005</v>
      </c>
      <c r="AJ7" s="24">
        <f t="shared" si="24"/>
        <v>8450</v>
      </c>
      <c r="AK7" s="24">
        <f t="shared" ca="1" si="6"/>
        <v>9216.23</v>
      </c>
      <c r="AL7" s="24">
        <f t="shared" ca="1" si="25"/>
        <v>9216.23</v>
      </c>
      <c r="AM7" s="24">
        <f t="shared" ca="1" si="26"/>
        <v>0</v>
      </c>
      <c r="AN7" s="24">
        <f t="shared" ca="1" si="27"/>
        <v>0</v>
      </c>
      <c r="AO7" s="24">
        <f t="shared" ca="1" si="28"/>
        <v>9216.23</v>
      </c>
      <c r="AP7" s="24">
        <f t="shared" ref="AP7:AP12" ca="1" si="30">IF($AD$16*F21&gt;=AO7,AO7,$AD$16*F21)</f>
        <v>4108</v>
      </c>
      <c r="AQ7" s="24">
        <f t="shared" ca="1" si="29"/>
        <v>5108.2299999999996</v>
      </c>
      <c r="AR7" s="26">
        <f t="shared" si="13"/>
        <v>0</v>
      </c>
      <c r="AS7" s="24">
        <f t="shared" ca="1" si="14"/>
        <v>113161.17045755035</v>
      </c>
      <c r="AT7" s="24">
        <f t="shared" ca="1" si="20"/>
        <v>23198.039943797819</v>
      </c>
      <c r="AU7" s="24">
        <f t="shared" ca="1" si="21"/>
        <v>1131.6117045755036</v>
      </c>
      <c r="AV7" s="24">
        <f t="shared" ca="1" si="22"/>
        <v>-5658.058522877518</v>
      </c>
      <c r="AW7" s="24">
        <f t="shared" ca="1" si="23"/>
        <v>131832.76358304618</v>
      </c>
      <c r="AX7" s="23">
        <v>5</v>
      </c>
      <c r="AY7" s="27">
        <v>2.5</v>
      </c>
      <c r="AZ7" s="28">
        <v>7.0000000000000007E-2</v>
      </c>
    </row>
    <row r="8" spans="1:52" ht="39.950000000000003" customHeight="1" x14ac:dyDescent="0.25">
      <c r="A8" s="52"/>
      <c r="B8" s="67"/>
      <c r="C8" s="53"/>
      <c r="D8" s="53"/>
      <c r="E8" s="54"/>
      <c r="F8" s="53"/>
      <c r="G8" s="58"/>
      <c r="H8" s="59"/>
      <c r="I8" s="60"/>
      <c r="J8" s="53"/>
      <c r="K8" s="53"/>
      <c r="L8" s="53"/>
      <c r="M8" s="53"/>
      <c r="N8" s="80"/>
      <c r="O8" s="71"/>
      <c r="P8" s="72"/>
      <c r="Q8" s="73"/>
      <c r="R8" s="77"/>
      <c r="S8" s="78"/>
      <c r="T8" s="79"/>
      <c r="U8" s="65"/>
      <c r="V8" s="23" t="s">
        <v>8</v>
      </c>
      <c r="W8" s="24">
        <f t="shared" si="0"/>
        <v>4823.0780533333318</v>
      </c>
      <c r="X8" s="24">
        <f>COUNTIF(O1,"Ocak")*(AG43)
+COUNTIF(O1,"Şubat")*(AG44)
+COUNTIF(O1,"Mart")*(AG45)
+COUNTIF(O1,"Nisan")*(AG46)
+COUNTIF(O1,"Mayıs")*(AG47)
+COUNTIF(O1,"Haziran")*(AG48)
+COUNTIF(O1,"Temmuz")*(AG49)
+COUNTIF(O1,"Ağustos")*(AG50)
+COUNTIF(O1,"Eylül")*(AG51)
+COUNTIF(O1,"Ekim")*(AG52)
+COUNTIF(O1,"Kasım")*(AG53)
+COUNTIF(O1,"Aralık")*(AG54)
+COUNTIF(O1,"Yıllık Toplam")*(AG55)
+COUNTIF(O1,"Yıllık Ortalama")*(AG56)</f>
        <v>4823.0780533333318</v>
      </c>
      <c r="Y8" s="25"/>
      <c r="Z8" s="18"/>
      <c r="AA8" s="23" t="s">
        <v>0</v>
      </c>
      <c r="AB8" s="23" t="s">
        <v>0</v>
      </c>
      <c r="AC8" s="24">
        <f>($AC$19)</f>
        <v>2301.539788</v>
      </c>
      <c r="AD8" s="24">
        <f>($AD$19)</f>
        <v>2301.539788</v>
      </c>
      <c r="AE8" s="24">
        <f t="shared" si="1"/>
        <v>29204.07461924716</v>
      </c>
      <c r="AF8" s="24">
        <f t="shared" si="2"/>
        <v>24601.804499999998</v>
      </c>
      <c r="AG8" s="24">
        <f t="shared" si="3"/>
        <v>0</v>
      </c>
      <c r="AH8" s="24">
        <f t="shared" si="4"/>
        <v>0</v>
      </c>
      <c r="AI8" s="24">
        <f t="shared" ca="1" si="5"/>
        <v>9216.2345000000005</v>
      </c>
      <c r="AJ8" s="24">
        <f t="shared" si="24"/>
        <v>8450</v>
      </c>
      <c r="AK8" s="24">
        <f t="shared" ca="1" si="6"/>
        <v>9216.23</v>
      </c>
      <c r="AL8" s="24">
        <f t="shared" ca="1" si="25"/>
        <v>9216.23</v>
      </c>
      <c r="AM8" s="24">
        <f t="shared" ca="1" si="26"/>
        <v>0</v>
      </c>
      <c r="AN8" s="24">
        <f t="shared" ca="1" si="27"/>
        <v>0</v>
      </c>
      <c r="AO8" s="24">
        <f t="shared" ca="1" si="28"/>
        <v>9216.23</v>
      </c>
      <c r="AP8" s="24">
        <f t="shared" ca="1" si="30"/>
        <v>4108</v>
      </c>
      <c r="AQ8" s="24">
        <f t="shared" ca="1" si="29"/>
        <v>5108.2299999999996</v>
      </c>
      <c r="AR8" s="26">
        <f t="shared" si="13"/>
        <v>0</v>
      </c>
      <c r="AS8" s="24">
        <f t="shared" ca="1" si="14"/>
        <v>113161.17045755035</v>
      </c>
      <c r="AT8" s="24">
        <f t="shared" ca="1" si="20"/>
        <v>23198.039943797819</v>
      </c>
      <c r="AU8" s="24">
        <f t="shared" ca="1" si="21"/>
        <v>1131.6117045755036</v>
      </c>
      <c r="AV8" s="24">
        <f t="shared" ca="1" si="22"/>
        <v>-5658.058522877518</v>
      </c>
      <c r="AW8" s="24">
        <f t="shared" ca="1" si="23"/>
        <v>131832.76358304618</v>
      </c>
      <c r="AX8" s="23">
        <v>6</v>
      </c>
      <c r="AY8" s="27">
        <v>3</v>
      </c>
      <c r="AZ8" s="28">
        <v>0.08</v>
      </c>
    </row>
    <row r="9" spans="1:52" ht="39.950000000000003" customHeight="1" x14ac:dyDescent="0.25">
      <c r="A9" s="52"/>
      <c r="B9" s="67"/>
      <c r="C9" s="53"/>
      <c r="D9" s="53"/>
      <c r="E9" s="54"/>
      <c r="F9" s="53"/>
      <c r="G9" s="58"/>
      <c r="H9" s="59"/>
      <c r="I9" s="60"/>
      <c r="J9" s="53"/>
      <c r="K9" s="53"/>
      <c r="L9" s="53"/>
      <c r="M9" s="53"/>
      <c r="N9" s="80"/>
      <c r="O9" s="71"/>
      <c r="P9" s="72"/>
      <c r="Q9" s="73"/>
      <c r="R9" s="77"/>
      <c r="S9" s="78"/>
      <c r="T9" s="79"/>
      <c r="U9" s="65"/>
      <c r="V9" s="23" t="s">
        <v>88</v>
      </c>
      <c r="W9" s="24" t="e">
        <f t="shared" si="0"/>
        <v>#REF!</v>
      </c>
      <c r="X9" s="24" t="e">
        <f>COUNTIF(#REF!,"Ocak")*(AG43)
+COUNTIF(#REF!,"Şubat")*(AG44)
+COUNTIF(#REF!,"Mart")*(AG45)
+COUNTIF(#REF!,"Nisan")*(AG46)
+COUNTIF(#REF!,"Mayıs")*(AG47)
+COUNTIF(#REF!,"Haziran")*(AG48)
+COUNTIF(#REF!,"Temmuz")*(AG49)
+COUNTIF(#REF!,"Ağustos")*(AG50)
+COUNTIF(#REF!,"Eylül")*(AG51)
+COUNTIF(#REF!,"Ekim")*(AG52)
+COUNTIF(#REF!,"Kasım")*(AG53)
+COUNTIF(#REF!,"Aralık")*(AG54)
+COUNTIF(#REF!,"Yıllık Toplam")*(AG55)
+COUNTIF(#REF!,"Yıllık Ortalama")*(AG56)</f>
        <v>#REF!</v>
      </c>
      <c r="Y9" s="25"/>
      <c r="Z9" s="18"/>
      <c r="AA9" s="23" t="s">
        <v>0</v>
      </c>
      <c r="AB9" s="23" t="s">
        <v>0</v>
      </c>
      <c r="AC9" s="24">
        <f>($AC$20)</f>
        <v>506.27800000000002</v>
      </c>
      <c r="AD9" s="24">
        <f>($AD$20)</f>
        <v>506.27800000000002</v>
      </c>
      <c r="AE9" s="24">
        <f t="shared" si="1"/>
        <v>33292.706639284901</v>
      </c>
      <c r="AF9" s="24">
        <f t="shared" si="2"/>
        <v>28046.108999999993</v>
      </c>
      <c r="AG9" s="24">
        <f t="shared" si="3"/>
        <v>0</v>
      </c>
      <c r="AH9" s="24">
        <f t="shared" si="4"/>
        <v>0</v>
      </c>
      <c r="AI9" s="24">
        <f t="shared" ca="1" si="5"/>
        <v>9216.2345000000005</v>
      </c>
      <c r="AJ9" s="24">
        <f t="shared" si="24"/>
        <v>8450</v>
      </c>
      <c r="AK9" s="24">
        <f t="shared" ca="1" si="6"/>
        <v>9216.23</v>
      </c>
      <c r="AL9" s="24">
        <f t="shared" ca="1" si="25"/>
        <v>9216.23</v>
      </c>
      <c r="AM9" s="24">
        <f t="shared" ca="1" si="26"/>
        <v>0</v>
      </c>
      <c r="AN9" s="24">
        <f t="shared" ca="1" si="27"/>
        <v>0</v>
      </c>
      <c r="AO9" s="24">
        <f t="shared" ca="1" si="28"/>
        <v>9216.23</v>
      </c>
      <c r="AP9" s="24">
        <f t="shared" ca="1" si="30"/>
        <v>4108</v>
      </c>
      <c r="AQ9" s="24">
        <f t="shared" ca="1" si="29"/>
        <v>5108.2299999999996</v>
      </c>
      <c r="AR9" s="26">
        <f t="shared" si="13"/>
        <v>0</v>
      </c>
      <c r="AS9" s="24">
        <f t="shared" ca="1" si="14"/>
        <v>198093.09809373703</v>
      </c>
      <c r="AT9" s="24">
        <f t="shared" ca="1" si="20"/>
        <v>40609.085109216088</v>
      </c>
      <c r="AU9" s="24">
        <f t="shared" ca="1" si="21"/>
        <v>1980.9309809373704</v>
      </c>
      <c r="AV9" s="24">
        <f t="shared" ca="1" si="22"/>
        <v>-9904.6549046868531</v>
      </c>
      <c r="AW9" s="24">
        <f t="shared" ca="1" si="23"/>
        <v>230778.45927920367</v>
      </c>
      <c r="AX9" s="23">
        <v>7</v>
      </c>
      <c r="AY9" s="27">
        <v>3.5</v>
      </c>
      <c r="AZ9" s="28">
        <v>0.09</v>
      </c>
    </row>
    <row r="10" spans="1:52" ht="39.950000000000003" customHeight="1" x14ac:dyDescent="0.25">
      <c r="A10" s="52"/>
      <c r="B10" s="67">
        <f>COUNTIF($A$1,"Kaptan / Makinist")*($AD$1)
+COUNTIF($A$1,"Güverte Lostromosu")*($AD$2)
+COUNTIF($A$1,"(%100) Gemici / Yağcı")*($AD$3)
+COUNTIF($A$1,"(%95) Gemici / Yağcı")*($AD$4)</f>
        <v>2054.66</v>
      </c>
      <c r="C10" s="53"/>
      <c r="D10" s="53"/>
      <c r="E10" s="54"/>
      <c r="F10" s="53"/>
      <c r="G10" s="58"/>
      <c r="H10" s="59"/>
      <c r="I10" s="60"/>
      <c r="J10" s="53"/>
      <c r="K10" s="53"/>
      <c r="L10" s="53"/>
      <c r="M10" s="53"/>
      <c r="N10" s="80"/>
      <c r="O10" s="71"/>
      <c r="P10" s="72"/>
      <c r="Q10" s="73"/>
      <c r="R10" s="77"/>
      <c r="S10" s="78"/>
      <c r="T10" s="79"/>
      <c r="U10" s="65"/>
      <c r="V10" s="23" t="s">
        <v>37</v>
      </c>
      <c r="W10" s="24">
        <f t="shared" si="0"/>
        <v>0</v>
      </c>
      <c r="X10" s="24">
        <f>COUNTIF(O1,"Ocak")*(AM43)
+COUNTIF(O1,"Şubat")*(AM44)
+COUNTIF(O1,"Mart")*(AM45)
+COUNTIF(O1,"Nisan")*(AM46)
+COUNTIF(O1,"Mayıs")*(AM47)
+COUNTIF(O1,"Haziran")*(AM48)
+COUNTIF(O1,"Temmuz")*(AM49)
+COUNTIF(O1,"Ağustos")*(AM50)
+COUNTIF(O1,"Eylül")*(AM51)
+COUNTIF(O1,"Ekim")*(AM52)
+COUNTIF(O1,"Kasım")*(AM53)
+COUNTIF(O1,"Aralık")*(AM54)
+COUNTIF(O1,"Yıllık Toplam")*(AM55)
+COUNTIF(O1,"Yıllık Ortalama")*(AM56)</f>
        <v>0</v>
      </c>
      <c r="Y10" s="25"/>
      <c r="Z10" s="18"/>
      <c r="AA10" s="23" t="s">
        <v>0</v>
      </c>
      <c r="AB10" s="23" t="s">
        <v>0</v>
      </c>
      <c r="AC10" s="24">
        <f>($AC$21)</f>
        <v>253.13900000000001</v>
      </c>
      <c r="AD10" s="24">
        <f>($AD$21)</f>
        <v>253.13900000000001</v>
      </c>
      <c r="AE10" s="24">
        <f t="shared" si="1"/>
        <v>33292.706639284901</v>
      </c>
      <c r="AF10" s="24">
        <f t="shared" si="2"/>
        <v>28046.108999999993</v>
      </c>
      <c r="AG10" s="24">
        <f t="shared" si="3"/>
        <v>0</v>
      </c>
      <c r="AH10" s="24">
        <f t="shared" si="4"/>
        <v>0</v>
      </c>
      <c r="AI10" s="24">
        <f t="shared" ca="1" si="5"/>
        <v>9216.2345000000005</v>
      </c>
      <c r="AJ10" s="24">
        <f t="shared" si="24"/>
        <v>8450</v>
      </c>
      <c r="AK10" s="24">
        <f t="shared" ca="1" si="6"/>
        <v>9216.23</v>
      </c>
      <c r="AL10" s="24">
        <f t="shared" ca="1" si="25"/>
        <v>9216.23</v>
      </c>
      <c r="AM10" s="24">
        <f t="shared" ca="1" si="26"/>
        <v>0</v>
      </c>
      <c r="AN10" s="24">
        <f t="shared" ca="1" si="27"/>
        <v>0</v>
      </c>
      <c r="AO10" s="24">
        <f t="shared" ca="1" si="28"/>
        <v>9216.23</v>
      </c>
      <c r="AP10" s="24">
        <f t="shared" ca="1" si="30"/>
        <v>4108</v>
      </c>
      <c r="AQ10" s="24">
        <f t="shared" ca="1" si="29"/>
        <v>5108.2299999999996</v>
      </c>
      <c r="AR10" s="26">
        <f t="shared" si="13"/>
        <v>0</v>
      </c>
      <c r="AS10" s="24">
        <f t="shared" ca="1" si="14"/>
        <v>127361.34039855296</v>
      </c>
      <c r="AT10" s="24">
        <f t="shared" ca="1" si="20"/>
        <v>26109.074781703355</v>
      </c>
      <c r="AU10" s="24">
        <f t="shared" ca="1" si="21"/>
        <v>1273.6134039855297</v>
      </c>
      <c r="AV10" s="24">
        <f t="shared" ca="1" si="22"/>
        <v>-6368.0670199276483</v>
      </c>
      <c r="AW10" s="24">
        <f t="shared" ca="1" si="23"/>
        <v>148375.9615643142</v>
      </c>
      <c r="AX10" s="23">
        <v>8</v>
      </c>
      <c r="AY10" s="27">
        <v>4</v>
      </c>
      <c r="AZ10" s="28">
        <v>0.1</v>
      </c>
    </row>
    <row r="11" spans="1:52" ht="39.950000000000003" customHeight="1" x14ac:dyDescent="0.25">
      <c r="A11" s="52"/>
      <c r="B11" s="67"/>
      <c r="C11" s="53"/>
      <c r="D11" s="53"/>
      <c r="E11" s="54"/>
      <c r="F11" s="53"/>
      <c r="G11" s="58"/>
      <c r="H11" s="59"/>
      <c r="I11" s="60"/>
      <c r="J11" s="53"/>
      <c r="K11" s="53"/>
      <c r="L11" s="53"/>
      <c r="M11" s="53"/>
      <c r="N11" s="80"/>
      <c r="O11" s="71"/>
      <c r="P11" s="72"/>
      <c r="Q11" s="73"/>
      <c r="R11" s="77"/>
      <c r="S11" s="78"/>
      <c r="T11" s="79"/>
      <c r="U11" s="65"/>
      <c r="V11" s="23" t="s">
        <v>38</v>
      </c>
      <c r="W11" s="24">
        <f t="shared" si="0"/>
        <v>1868.5408530288103</v>
      </c>
      <c r="X11" s="24">
        <f>COUNTIF(O1,"Ocak")*(AO43)*-1
+COUNTIF(O1,"Şubat")*(AO44)*-1
+COUNTIF(O1,"Mart")*(AO45)*-1
+COUNTIF(O1,"Nisan")*(AO46)*-1
+COUNTIF(O1,"Mayıs")*(AO47)*-1
+COUNTIF(O1,"Haziran")*(AO48)*-1
+COUNTIF(O1,"Temmuz")*(AO49)*-1
+COUNTIF(O1,"Ağustos")*(AO50)*-1
+COUNTIF(O1,"Eylül")*(AO51)*-1
+COUNTIF(O1,"Ekim")*(AO52)*-1
+COUNTIF(O1,"Kasım")*(AO53)*-1
+COUNTIF(O1,"Aralık")*(AO54)*-1
+COUNTIF(O1,"Yıllık Toplam")*(AO55)*-1
+COUNTIF(O1,"Yıllık Ortalama")*(AO56)*-1</f>
        <v>1868.5408530288103</v>
      </c>
      <c r="Y11" s="25"/>
      <c r="Z11" s="18"/>
      <c r="AA11" s="24" t="s">
        <v>0</v>
      </c>
      <c r="AB11" s="23" t="s">
        <v>0</v>
      </c>
      <c r="AC11" s="24">
        <v>26005.5</v>
      </c>
      <c r="AD11" s="24">
        <v>26005.5</v>
      </c>
      <c r="AE11" s="24">
        <f t="shared" si="1"/>
        <v>33292.706639284901</v>
      </c>
      <c r="AF11" s="24">
        <f t="shared" si="2"/>
        <v>28046.108999999993</v>
      </c>
      <c r="AG11" s="24">
        <f t="shared" si="3"/>
        <v>0</v>
      </c>
      <c r="AH11" s="24">
        <f t="shared" si="4"/>
        <v>0</v>
      </c>
      <c r="AI11" s="24">
        <f t="shared" ca="1" si="5"/>
        <v>9216.2345000000005</v>
      </c>
      <c r="AJ11" s="24">
        <f t="shared" si="24"/>
        <v>8450</v>
      </c>
      <c r="AK11" s="24">
        <f t="shared" ca="1" si="6"/>
        <v>9216.23</v>
      </c>
      <c r="AL11" s="24">
        <f t="shared" ca="1" si="25"/>
        <v>9216.23</v>
      </c>
      <c r="AM11" s="24">
        <f t="shared" ca="1" si="26"/>
        <v>0</v>
      </c>
      <c r="AN11" s="24">
        <f t="shared" ca="1" si="27"/>
        <v>0</v>
      </c>
      <c r="AO11" s="24">
        <f t="shared" ca="1" si="28"/>
        <v>9216.23</v>
      </c>
      <c r="AP11" s="24">
        <f t="shared" ca="1" si="30"/>
        <v>4108</v>
      </c>
      <c r="AQ11" s="24">
        <f t="shared" ca="1" si="29"/>
        <v>5108.2299999999996</v>
      </c>
      <c r="AR11" s="26">
        <f t="shared" si="13"/>
        <v>0</v>
      </c>
      <c r="AS11" s="24">
        <f t="shared" ca="1" si="14"/>
        <v>124922.31427113283</v>
      </c>
      <c r="AT11" s="24">
        <f t="shared" ca="1" si="20"/>
        <v>25609.074425582228</v>
      </c>
      <c r="AU11" s="24">
        <f t="shared" ca="1" si="21"/>
        <v>1249.2231427113284</v>
      </c>
      <c r="AV11" s="24">
        <f t="shared" ca="1" si="22"/>
        <v>-6246.1157135566418</v>
      </c>
      <c r="AW11" s="24">
        <f t="shared" ca="1" si="23"/>
        <v>145534.49612586974</v>
      </c>
      <c r="AX11" s="23">
        <v>9</v>
      </c>
      <c r="AY11" s="27">
        <v>4.5</v>
      </c>
      <c r="AZ11" s="28">
        <v>0.11</v>
      </c>
    </row>
    <row r="12" spans="1:52" ht="39.950000000000003" customHeight="1" x14ac:dyDescent="0.25">
      <c r="A12" s="52"/>
      <c r="B12" s="67"/>
      <c r="C12" s="53"/>
      <c r="D12" s="53"/>
      <c r="E12" s="54"/>
      <c r="F12" s="53"/>
      <c r="G12" s="58"/>
      <c r="H12" s="59"/>
      <c r="I12" s="60"/>
      <c r="J12" s="53"/>
      <c r="K12" s="53"/>
      <c r="L12" s="53"/>
      <c r="M12" s="53"/>
      <c r="N12" s="80"/>
      <c r="O12" s="71"/>
      <c r="P12" s="72"/>
      <c r="Q12" s="73"/>
      <c r="R12" s="77"/>
      <c r="S12" s="78"/>
      <c r="T12" s="79"/>
      <c r="U12" s="65"/>
      <c r="V12" s="23" t="s">
        <v>32</v>
      </c>
      <c r="W12" s="24">
        <f t="shared" ca="1" si="0"/>
        <v>0</v>
      </c>
      <c r="X12" s="24">
        <f ca="1">COUNTIF(O1,"Ocak")*(AR15)*-1
+COUNTIF(O1,"Şubat")*(AR16)*-1
+COUNTIF(O1,"Mart")*(AR17)*-1
+COUNTIF(O1,"Nisan")*(AR18)*-1
+COUNTIF(O1,"Mayıs")*(AR19)*-1
+COUNTIF(O1,"Haziran")*(AR20)*-1
+COUNTIF(O1,"Temmuz")*(AR21)*-1
+COUNTIF(O1,"Ağustos")*(AR22)*-1
+COUNTIF(O1,"Eylül")*(AR23)*-1
+COUNTIF(O1,"Ekim")*(AR24)*-1
+COUNTIF(O1,"Kasım")*(AR25)*-1
+COUNTIF(O1,"Aralık")*(AR26)*-1
+COUNTIF(O1,"Yıllık Toplam")*(AR27)*-1
+COUNTIF(O1,"Yıllık Ortalama")*(AR28)*-1</f>
        <v>0</v>
      </c>
      <c r="Y12" s="25"/>
      <c r="Z12" s="18"/>
      <c r="AA12" s="24" t="s">
        <v>0</v>
      </c>
      <c r="AB12" s="23" t="s">
        <v>0</v>
      </c>
      <c r="AC12" s="24">
        <v>0</v>
      </c>
      <c r="AD12" s="24">
        <v>0</v>
      </c>
      <c r="AE12" s="24">
        <f t="shared" si="1"/>
        <v>33292.706639284901</v>
      </c>
      <c r="AF12" s="24">
        <f t="shared" si="2"/>
        <v>28046.108999999993</v>
      </c>
      <c r="AG12" s="24">
        <f t="shared" si="3"/>
        <v>0</v>
      </c>
      <c r="AH12" s="24">
        <f t="shared" si="4"/>
        <v>0</v>
      </c>
      <c r="AI12" s="24">
        <f t="shared" ca="1" si="5"/>
        <v>9216.2345000000005</v>
      </c>
      <c r="AJ12" s="24">
        <f t="shared" si="24"/>
        <v>8450</v>
      </c>
      <c r="AK12" s="24">
        <f t="shared" ca="1" si="6"/>
        <v>9216.23</v>
      </c>
      <c r="AL12" s="24">
        <f t="shared" ca="1" si="25"/>
        <v>9216.23</v>
      </c>
      <c r="AM12" s="24">
        <f t="shared" ca="1" si="26"/>
        <v>0</v>
      </c>
      <c r="AN12" s="24">
        <f t="shared" ca="1" si="27"/>
        <v>0</v>
      </c>
      <c r="AO12" s="24">
        <f t="shared" ca="1" si="28"/>
        <v>9216.23</v>
      </c>
      <c r="AP12" s="24">
        <f t="shared" ca="1" si="30"/>
        <v>4108</v>
      </c>
      <c r="AQ12" s="24">
        <f t="shared" ca="1" si="29"/>
        <v>5108.2299999999996</v>
      </c>
      <c r="AR12" s="26">
        <f t="shared" si="13"/>
        <v>0</v>
      </c>
      <c r="AS12" s="24">
        <f t="shared" ca="1" si="14"/>
        <v>200532.12422115717</v>
      </c>
      <c r="AT12" s="24">
        <f t="shared" ca="1" si="20"/>
        <v>41109.085465337215</v>
      </c>
      <c r="AU12" s="24">
        <f t="shared" ca="1" si="21"/>
        <v>2005.3212422115716</v>
      </c>
      <c r="AV12" s="24">
        <f t="shared" ca="1" si="22"/>
        <v>-10026.606211057859</v>
      </c>
      <c r="AW12" s="24">
        <f t="shared" ca="1" si="23"/>
        <v>233619.92471764807</v>
      </c>
      <c r="AX12" s="23">
        <v>10</v>
      </c>
      <c r="AY12" s="27">
        <v>5</v>
      </c>
      <c r="AZ12" s="28">
        <v>0.12</v>
      </c>
    </row>
    <row r="13" spans="1:52" ht="39.950000000000003" customHeight="1" x14ac:dyDescent="0.25">
      <c r="A13" s="52"/>
      <c r="B13" s="67"/>
      <c r="C13" s="53"/>
      <c r="D13" s="53"/>
      <c r="E13" s="54"/>
      <c r="F13" s="53"/>
      <c r="G13" s="58"/>
      <c r="H13" s="59"/>
      <c r="I13" s="60"/>
      <c r="J13" s="53"/>
      <c r="K13" s="53"/>
      <c r="L13" s="53"/>
      <c r="M13" s="53"/>
      <c r="N13" s="80"/>
      <c r="O13" s="71"/>
      <c r="P13" s="72"/>
      <c r="Q13" s="73"/>
      <c r="R13" s="77"/>
      <c r="S13" s="78"/>
      <c r="T13" s="79"/>
      <c r="U13" s="65"/>
      <c r="V13" s="23" t="s">
        <v>33</v>
      </c>
      <c r="W13" s="24">
        <f t="shared" ca="1" si="0"/>
        <v>721.08639837656222</v>
      </c>
      <c r="X13" s="24">
        <f ca="1">COUNTIF(O1,"Ocak")*(AB75)*-1
+COUNTIF(O1,"Şubat")*(AB76)*-1
+COUNTIF(O1,"Mart")*(AB77)*-1
+COUNTIF(O1,"Nisan")*(AB78)*-1
+COUNTIF(O1,"Mayıs")*(AB79)*-1
+COUNTIF(O1,"Haziran")*(AB80)*-1
+COUNTIF(O1,"Temmuz")*(AB81)*-1
+COUNTIF(O1,"Ağustos")*(AB82)*-1
+COUNTIF(O1,"Eylül")*(AB83)*-1
+COUNTIF(O1,"Ekim")*(AB84)*-1
+COUNTIF(O1,"Kasım")*(AB85)*-1
+COUNTIF(O1,"Aralık")*(AB86)*-1
+COUNTIF(O1,"Yıllık Toplam")*(AB87)*-1
+COUNTIF(O1,"Yıllık Ortalama")*(AB88)*-1</f>
        <v>721.08639837656222</v>
      </c>
      <c r="Y13" s="25"/>
      <c r="Z13" s="18"/>
      <c r="AA13" s="24" t="s">
        <v>0</v>
      </c>
      <c r="AB13" s="23" t="s">
        <v>0</v>
      </c>
      <c r="AC13" s="24">
        <v>126</v>
      </c>
      <c r="AD13" s="24">
        <v>126</v>
      </c>
      <c r="AE13" s="24">
        <f t="shared" ref="AE13:AF13" si="31">(AE1+AE2+AE3+AE4+AE5+AE6+AE7+AE8+AE9+AE10+AE11+AE12)</f>
        <v>340074.43525124347</v>
      </c>
      <c r="AF13" s="24">
        <f t="shared" si="31"/>
        <v>286482.10499999998</v>
      </c>
      <c r="AG13" s="24">
        <f t="shared" ref="AG13:AH13" si="32">(AG1+AG2+AG3+AG4+AG5+AG6+AG7+AG8+AG9+AG10+AG11+AG12)</f>
        <v>0</v>
      </c>
      <c r="AH13" s="24">
        <f t="shared" si="32"/>
        <v>0</v>
      </c>
      <c r="AI13" s="24">
        <f t="shared" ref="AI13:AQ13" ca="1" si="33">(AI1+AI2+AI3+AI4+AI5+AI6+AI7+AI8+AI9+AI10+AI11+AI12)</f>
        <v>104783.05000000002</v>
      </c>
      <c r="AJ13" s="24">
        <f t="shared" si="33"/>
        <v>96460</v>
      </c>
      <c r="AK13" s="24">
        <f t="shared" ca="1" si="33"/>
        <v>104782.99999999997</v>
      </c>
      <c r="AL13" s="24">
        <f t="shared" ca="1" si="33"/>
        <v>104782.99999999997</v>
      </c>
      <c r="AM13" s="24">
        <f t="shared" ca="1" si="33"/>
        <v>0</v>
      </c>
      <c r="AN13" s="24">
        <f t="shared" ca="1" si="33"/>
        <v>0</v>
      </c>
      <c r="AO13" s="24">
        <f t="shared" ca="1" si="33"/>
        <v>104782.99999999997</v>
      </c>
      <c r="AP13" s="24">
        <f t="shared" ca="1" si="33"/>
        <v>49296</v>
      </c>
      <c r="AQ13" s="24">
        <f t="shared" ca="1" si="33"/>
        <v>55486.999999999985</v>
      </c>
      <c r="AR13" s="24">
        <f t="shared" ref="AR13" si="34">(AR1+AR2+AR3+AR4+AR5+AR6+AR7+AR8+AR9+AR10+AR11+AR12)</f>
        <v>0</v>
      </c>
      <c r="AS13" s="24">
        <f t="shared" ref="AS13:AW13" ca="1" si="35">(AS1+AS2+AS3+AS4+AS5+AS6+AS7+AS8+AS9+AS10+AS11+AS12)</f>
        <v>1556906.5468404144</v>
      </c>
      <c r="AT13" s="24">
        <f t="shared" ca="1" si="35"/>
        <v>319165.84210228495</v>
      </c>
      <c r="AU13" s="24">
        <f t="shared" ca="1" si="35"/>
        <v>15569.065468404144</v>
      </c>
      <c r="AV13" s="24">
        <f t="shared" ca="1" si="35"/>
        <v>-77845.327342020726</v>
      </c>
      <c r="AW13" s="24">
        <f t="shared" ca="1" si="35"/>
        <v>1813796.1270690826</v>
      </c>
      <c r="AX13" s="23">
        <v>11</v>
      </c>
      <c r="AY13" s="27">
        <v>5.5</v>
      </c>
      <c r="AZ13" s="28">
        <v>0.13</v>
      </c>
    </row>
    <row r="14" spans="1:52" ht="39.950000000000003" customHeight="1" x14ac:dyDescent="0.25">
      <c r="A14" s="52"/>
      <c r="B14" s="4"/>
      <c r="C14" s="53"/>
      <c r="D14" s="53"/>
      <c r="E14" s="54"/>
      <c r="F14" s="53"/>
      <c r="G14" s="61"/>
      <c r="H14" s="62"/>
      <c r="I14" s="63"/>
      <c r="J14" s="53"/>
      <c r="K14" s="53"/>
      <c r="L14" s="53"/>
      <c r="M14" s="53"/>
      <c r="N14" s="80"/>
      <c r="O14" s="71"/>
      <c r="P14" s="72"/>
      <c r="Q14" s="73"/>
      <c r="R14" s="77"/>
      <c r="S14" s="78"/>
      <c r="T14" s="79"/>
      <c r="U14" s="65"/>
      <c r="V14" s="23" t="s">
        <v>5</v>
      </c>
      <c r="W14" s="24">
        <f t="shared" ca="1" si="0"/>
        <v>17572.656180557999</v>
      </c>
      <c r="X14" s="24">
        <f ca="1">COUNTIF(O1,"Ocak")*(AF75)*-1
+COUNTIF(O1,"Şubat")*(AF76)*-1
+COUNTIF(O1,"Mart")*(AF77)*-1
+COUNTIF(O1,"Nisan")*(AF78)*-1
+COUNTIF(O1,"Mayıs")*(AF79)*-1
+COUNTIF(O1,"Haziran")*(AF80)*-1
+COUNTIF(O1,"Temmuz")*(AF81)*-1
+COUNTIF(O1,"Ağustos")*(AF82)*-1
+COUNTIF(O1,"Eylül")*(AF83)*-1
+COUNTIF(O1,"Ekim")*(AF84)*-1
+COUNTIF(O1,"Kasım")*(AF85)*-1
+COUNTIF(O1,"Aralık")*(AF86)*-1
+COUNTIF(O1,"Yıllık Toplam")*(AF87)*-1
+COUNTIF(O1,"Yıllık Ortalama")*(AF88)*-1</f>
        <v>17572.656180557999</v>
      </c>
      <c r="Y14" s="25"/>
      <c r="Z14" s="19"/>
      <c r="AA14" s="24" t="s">
        <v>0</v>
      </c>
      <c r="AB14" s="23" t="s">
        <v>0</v>
      </c>
      <c r="AC14" s="24">
        <v>1000</v>
      </c>
      <c r="AD14" s="24">
        <v>1000</v>
      </c>
      <c r="AE14" s="24">
        <f t="shared" ref="AE14:AF14" si="36">(AE13/12)</f>
        <v>28339.536270936955</v>
      </c>
      <c r="AF14" s="24">
        <f t="shared" si="36"/>
        <v>23873.508749999997</v>
      </c>
      <c r="AG14" s="24">
        <f t="shared" ref="AG14:AH14" si="37">(AG13/12)</f>
        <v>0</v>
      </c>
      <c r="AH14" s="24">
        <f t="shared" si="37"/>
        <v>0</v>
      </c>
      <c r="AI14" s="24">
        <f t="shared" ref="AI14:AQ14" ca="1" si="38">(AI13/12)</f>
        <v>8731.9208333333354</v>
      </c>
      <c r="AJ14" s="24">
        <f t="shared" si="38"/>
        <v>8038.333333333333</v>
      </c>
      <c r="AK14" s="24">
        <f t="shared" ca="1" si="38"/>
        <v>8731.9166666666642</v>
      </c>
      <c r="AL14" s="24">
        <f t="shared" ca="1" si="38"/>
        <v>8731.9166666666642</v>
      </c>
      <c r="AM14" s="24">
        <f t="shared" ca="1" si="38"/>
        <v>0</v>
      </c>
      <c r="AN14" s="24">
        <f t="shared" ca="1" si="38"/>
        <v>0</v>
      </c>
      <c r="AO14" s="24">
        <f t="shared" ca="1" si="38"/>
        <v>8731.9166666666642</v>
      </c>
      <c r="AP14" s="24">
        <f t="shared" ca="1" si="38"/>
        <v>4108</v>
      </c>
      <c r="AQ14" s="24">
        <f t="shared" ca="1" si="38"/>
        <v>4623.9166666666652</v>
      </c>
      <c r="AR14" s="24">
        <f t="shared" ref="AR14" si="39">(AR13/12)</f>
        <v>0</v>
      </c>
      <c r="AS14" s="24">
        <f t="shared" ref="AS14:AW14" ca="1" si="40">(AS13/12)</f>
        <v>129742.21223670121</v>
      </c>
      <c r="AT14" s="24">
        <f t="shared" ca="1" si="40"/>
        <v>26597.153508523745</v>
      </c>
      <c r="AU14" s="24">
        <f t="shared" ca="1" si="40"/>
        <v>1297.422122367012</v>
      </c>
      <c r="AV14" s="24">
        <f t="shared" ca="1" si="40"/>
        <v>-6487.1106118350608</v>
      </c>
      <c r="AW14" s="24">
        <f t="shared" ca="1" si="40"/>
        <v>151149.67725575689</v>
      </c>
      <c r="AX14" s="23">
        <v>12</v>
      </c>
      <c r="AY14" s="27">
        <v>6</v>
      </c>
      <c r="AZ14" s="28">
        <v>0.14000000000000001</v>
      </c>
    </row>
    <row r="15" spans="1:52" ht="39.950000000000003" customHeight="1" x14ac:dyDescent="0.25">
      <c r="A15" s="5">
        <f t="shared" ref="A15:A26" si="41">(AN75)</f>
        <v>0</v>
      </c>
      <c r="B15" s="6" t="s">
        <v>11</v>
      </c>
      <c r="C15" s="48">
        <v>0</v>
      </c>
      <c r="D15" s="49">
        <v>78</v>
      </c>
      <c r="E15" s="49">
        <v>0</v>
      </c>
      <c r="F15" s="48">
        <v>26</v>
      </c>
      <c r="G15" s="50" t="s">
        <v>1</v>
      </c>
      <c r="H15" s="50" t="s">
        <v>1</v>
      </c>
      <c r="I15" s="50" t="s">
        <v>1</v>
      </c>
      <c r="J15" s="51">
        <v>0</v>
      </c>
      <c r="K15" s="51" t="s">
        <v>1</v>
      </c>
      <c r="L15" s="7">
        <f t="shared" ref="L15:L26" ca="1" si="42">(AR30+AO43+AP15+AB75+AF75+AG75+AP75-M15)</f>
        <v>51935.346448582415</v>
      </c>
      <c r="M15" s="7">
        <f t="shared" ref="M15:M26" ca="1" si="43">(AF1+AH1+AJ1+AQ15)</f>
        <v>26829.010000000002</v>
      </c>
      <c r="N15" s="8">
        <f ca="1">(L15+M15)</f>
        <v>78764.356448582417</v>
      </c>
      <c r="O15" s="71"/>
      <c r="P15" s="72"/>
      <c r="Q15" s="73"/>
      <c r="R15" s="77"/>
      <c r="S15" s="78"/>
      <c r="T15" s="79"/>
      <c r="U15" s="65"/>
      <c r="V15" s="23" t="s">
        <v>6</v>
      </c>
      <c r="W15" s="24">
        <f t="shared" ca="1" si="0"/>
        <v>1255.1897271827143</v>
      </c>
      <c r="X15" s="24">
        <f ca="1">COUNTIF(O1,"Ocak")*(AG75)*-1
+COUNTIF(O1,"Şubat")*(AG76)*-1
+COUNTIF(O1,"Mart")*(AG77)*-1
+COUNTIF(O1,"Nisan")*(AG78)*-1
+COUNTIF(O1,"Mayıs")*(AG79)*-1
+COUNTIF(O1,"Haziran")*(AG80)*-1
+COUNTIF(O1,"Temmuz")*(AG81)*-1
+COUNTIF(O1,"Ağustos")*(AG82)*-1
+COUNTIF(O1,"Eylül")*(AG83)*-1
+COUNTIF(O1,"Ekim")*(AG84)*-1
+COUNTIF(O1,"Kasım")*(AG85)*-1
+COUNTIF(O1,"Aralık")*(AG86)*-1
+COUNTIF(O1,"Yıllık Toplam")*(AG87)*-1
+COUNTIF(O1,"Yıllık Ortalama")*(AG88)*-1</f>
        <v>1255.1897271827143</v>
      </c>
      <c r="Y15" s="25"/>
      <c r="Z15" s="20"/>
      <c r="AA15" s="24" t="s">
        <v>0</v>
      </c>
      <c r="AB15" s="23" t="s">
        <v>0</v>
      </c>
      <c r="AC15" s="24">
        <v>1000</v>
      </c>
      <c r="AD15" s="24">
        <v>1000</v>
      </c>
      <c r="AE15" s="30">
        <v>45658</v>
      </c>
      <c r="AF15" s="31">
        <f t="shared" ref="AF15:AF26" si="44">EOMONTH(AE15,0)</f>
        <v>45688</v>
      </c>
      <c r="AG15" s="32">
        <f>DAY(AF15)</f>
        <v>31</v>
      </c>
      <c r="AH15" s="32">
        <f>NETWORKDAYS.INTL(AE15,AF15,11)</f>
        <v>27</v>
      </c>
      <c r="AI15" s="32">
        <f>(AG15-AH15)</f>
        <v>4</v>
      </c>
      <c r="AJ15" s="24">
        <f t="shared" ref="AJ15:AJ26" si="45">(AK15/AR75)</f>
        <v>1813.1313730843651</v>
      </c>
      <c r="AK15" s="24">
        <f t="shared" ref="AK15:AK20" si="46">COUNTIF($A$1,"Kaptan / Makinist")*($AB$1)
+COUNTIF($A$1,"Güverte Lostromosu")*($AB$2)
+COUNTIF($A$1,"(%100) Gemici / Yağcı")*($AB$3)
+COUNTIF($A$1,"(%95) Gemici / Yağcı")*($AB$4)</f>
        <v>1527.4</v>
      </c>
      <c r="AL15" s="33">
        <f t="shared" ref="AL15:AL26" si="47">(AM15/AR75)</f>
        <v>56207.072565615323</v>
      </c>
      <c r="AM15" s="24">
        <f t="shared" ref="AM15:AM26" si="48">(AK15*AG15)</f>
        <v>47349.4</v>
      </c>
      <c r="AN15" s="24">
        <f t="shared" ref="AN15:AN26" si="49">(AO15/AR75)</f>
        <v>0</v>
      </c>
      <c r="AO15" s="24">
        <f t="shared" ref="AO15:AO26" si="50">(60*C15)</f>
        <v>0</v>
      </c>
      <c r="AP15" s="26">
        <f t="shared" ref="AP15:AP26" ca="1" si="51">(AE75*J15+AQ15)*-1</f>
        <v>0</v>
      </c>
      <c r="AQ15" s="26">
        <f t="shared" ref="AQ15:AQ26" ca="1" si="52">(AE1+AG1+AI1-AP1)*(J15*-1)</f>
        <v>0</v>
      </c>
      <c r="AR15" s="26">
        <f ca="1">(AP15+AQ15)</f>
        <v>0</v>
      </c>
      <c r="AX15" s="23">
        <v>13</v>
      </c>
      <c r="AY15" s="27">
        <v>6.5</v>
      </c>
      <c r="AZ15" s="28">
        <v>0.15</v>
      </c>
    </row>
    <row r="16" spans="1:52" ht="39.950000000000003" customHeight="1" x14ac:dyDescent="0.25">
      <c r="A16" s="5">
        <f t="shared" si="41"/>
        <v>0</v>
      </c>
      <c r="B16" s="9" t="s">
        <v>12</v>
      </c>
      <c r="C16" s="48">
        <v>0</v>
      </c>
      <c r="D16" s="49">
        <v>78</v>
      </c>
      <c r="E16" s="49">
        <v>0</v>
      </c>
      <c r="F16" s="48">
        <v>26</v>
      </c>
      <c r="G16" s="50" t="s">
        <v>1</v>
      </c>
      <c r="H16" s="50" t="s">
        <v>1</v>
      </c>
      <c r="I16" s="50" t="s">
        <v>1</v>
      </c>
      <c r="J16" s="51">
        <v>0</v>
      </c>
      <c r="K16" s="51" t="s">
        <v>1</v>
      </c>
      <c r="L16" s="7">
        <f t="shared" ca="1" si="42"/>
        <v>47664.81311524909</v>
      </c>
      <c r="M16" s="7">
        <f t="shared" ca="1" si="43"/>
        <v>26829.010000000002</v>
      </c>
      <c r="N16" s="8">
        <f t="shared" ref="N16:N26" ca="1" si="53">(L16+M16)</f>
        <v>74493.823115249092</v>
      </c>
      <c r="O16" s="71"/>
      <c r="P16" s="72"/>
      <c r="Q16" s="73"/>
      <c r="R16" s="77"/>
      <c r="S16" s="78"/>
      <c r="T16" s="79"/>
      <c r="U16" s="65"/>
      <c r="V16" s="23" t="s">
        <v>34</v>
      </c>
      <c r="W16" s="24">
        <f t="shared" si="0"/>
        <v>0</v>
      </c>
      <c r="X16" s="24">
        <f>COUNTIF(O1,"Ocak")*(AP75)*-1
+COUNTIF(O1,"Şubat")*(AP76)*-1
+COUNTIF(O1,"Mart")*(AP77)*-1
+COUNTIF(O1,"Nisan")*(AP78)*-1
+COUNTIF(O1,"Mayıs")*(AP79)*-1
+COUNTIF(O1,"Haziran")*(AP80)*-1
+COUNTIF(O1,"Temmuz")*(AP81)*-1
+COUNTIF(O1,"Ağustos")*(AP82)*-1
+COUNTIF(O1,"Eylül")*(AP83)*-1
+COUNTIF(O1,"Ekim")*(AP84)*-1
+COUNTIF(O1,"Kasım")*(AP85)*-1
+COUNTIF(O1,"Aralık")*(AP86)*-1
+COUNTIF(O1,"Yıllık Toplam")*(AP87)*-1
+COUNTIF(O1,"Yıllık Ortalama")*(AP88)*-1</f>
        <v>0</v>
      </c>
      <c r="Y16" s="25"/>
      <c r="Z16" s="20"/>
      <c r="AA16" s="29">
        <f>(23.65%)</f>
        <v>0.23649999999999999</v>
      </c>
      <c r="AB16" s="23" t="s">
        <v>0</v>
      </c>
      <c r="AC16" s="24">
        <v>158</v>
      </c>
      <c r="AD16" s="24">
        <v>158</v>
      </c>
      <c r="AE16" s="31">
        <f>(AF15+1)</f>
        <v>45689</v>
      </c>
      <c r="AF16" s="31">
        <f t="shared" si="44"/>
        <v>45716</v>
      </c>
      <c r="AG16" s="32">
        <f t="shared" ref="AG16:AG26" si="54">DAY(AF16)</f>
        <v>28</v>
      </c>
      <c r="AH16" s="32">
        <f t="shared" ref="AH16:AH26" si="55">NETWORKDAYS.INTL(AE16,AF16,11)</f>
        <v>24</v>
      </c>
      <c r="AI16" s="32">
        <f t="shared" ref="AI16:AI26" si="56">(AG16-AH16)</f>
        <v>4</v>
      </c>
      <c r="AJ16" s="24">
        <f t="shared" si="45"/>
        <v>1813.1313730843651</v>
      </c>
      <c r="AK16" s="24">
        <f t="shared" si="46"/>
        <v>1527.4</v>
      </c>
      <c r="AL16" s="33">
        <f t="shared" si="47"/>
        <v>50767.678446362232</v>
      </c>
      <c r="AM16" s="24">
        <f t="shared" si="48"/>
        <v>42767.200000000004</v>
      </c>
      <c r="AN16" s="24">
        <f t="shared" si="49"/>
        <v>0</v>
      </c>
      <c r="AO16" s="24">
        <f t="shared" si="50"/>
        <v>0</v>
      </c>
      <c r="AP16" s="26">
        <f t="shared" ca="1" si="51"/>
        <v>0</v>
      </c>
      <c r="AQ16" s="26">
        <f t="shared" ca="1" si="52"/>
        <v>0</v>
      </c>
      <c r="AR16" s="26">
        <f t="shared" ref="AR16:AR26" ca="1" si="57">(AP16+AQ16)</f>
        <v>0</v>
      </c>
      <c r="AX16" s="23">
        <v>14</v>
      </c>
      <c r="AY16" s="27">
        <v>7</v>
      </c>
      <c r="AZ16" s="28">
        <v>0.16</v>
      </c>
    </row>
    <row r="17" spans="1:52" ht="39.950000000000003" customHeight="1" x14ac:dyDescent="0.25">
      <c r="A17" s="5">
        <f t="shared" si="41"/>
        <v>0</v>
      </c>
      <c r="B17" s="9" t="s">
        <v>13</v>
      </c>
      <c r="C17" s="48">
        <v>0</v>
      </c>
      <c r="D17" s="49">
        <v>78</v>
      </c>
      <c r="E17" s="49">
        <v>0</v>
      </c>
      <c r="F17" s="48">
        <v>26</v>
      </c>
      <c r="G17" s="50" t="s">
        <v>1</v>
      </c>
      <c r="H17" s="50" t="s">
        <v>1</v>
      </c>
      <c r="I17" s="50" t="s">
        <v>1</v>
      </c>
      <c r="J17" s="51">
        <v>0</v>
      </c>
      <c r="K17" s="51" t="s">
        <v>1</v>
      </c>
      <c r="L17" s="7">
        <f t="shared" ca="1" si="42"/>
        <v>98069.012800069089</v>
      </c>
      <c r="M17" s="7">
        <f t="shared" ca="1" si="43"/>
        <v>29299.010000000002</v>
      </c>
      <c r="N17" s="8">
        <f t="shared" ca="1" si="53"/>
        <v>127368.0228000691</v>
      </c>
      <c r="O17" s="71"/>
      <c r="P17" s="72"/>
      <c r="Q17" s="73"/>
      <c r="R17" s="77"/>
      <c r="S17" s="78"/>
      <c r="T17" s="79"/>
      <c r="U17" s="65"/>
      <c r="V17" s="23" t="s">
        <v>70</v>
      </c>
      <c r="W17" s="24">
        <f t="shared" ca="1" si="0"/>
        <v>151149.67725575689</v>
      </c>
      <c r="X17" s="24">
        <f ca="1">COUNTIF(O1,"Ocak")*(AW1)
+COUNTIF(O1,"Şubat")*(AW2)
+COUNTIF(O1,"Mart")*(AW3)
+COUNTIF(O1,"Nisan")*(AW4)
+COUNTIF(O1,"Mayıs")*(AW5)
+COUNTIF(O1,"Haziran")*(AW6)
+COUNTIF(O1,"Temmuz")*(AW7)
+COUNTIF(O1,"Ağustos")*(AW8)
+COUNTIF(O1,"Eylül")*(AW9)
+COUNTIF(O1,"Ekim")*(AW10)
+COUNTIF(O1,"Kasım")*(AW11)
+COUNTIF(O1,"Aralık")*(AW12)
+COUNTIF(O1,"Yıllık Toplam")*(AW13)
+COUNTIF(O1,"Yıllık Ortalama")*(AW14)</f>
        <v>151149.67725575689</v>
      </c>
      <c r="Y17" s="25"/>
      <c r="Z17" s="20"/>
      <c r="AA17" s="24" t="s">
        <v>0</v>
      </c>
      <c r="AB17" s="23" t="s">
        <v>0</v>
      </c>
      <c r="AC17" s="24">
        <v>240</v>
      </c>
      <c r="AD17" s="24">
        <v>240</v>
      </c>
      <c r="AE17" s="31">
        <f t="shared" ref="AE17:AE26" si="58">(AF16+1)</f>
        <v>45717</v>
      </c>
      <c r="AF17" s="31">
        <f t="shared" si="44"/>
        <v>45747</v>
      </c>
      <c r="AG17" s="32">
        <f t="shared" si="54"/>
        <v>31</v>
      </c>
      <c r="AH17" s="32">
        <f t="shared" si="55"/>
        <v>26</v>
      </c>
      <c r="AI17" s="32">
        <f t="shared" si="56"/>
        <v>5</v>
      </c>
      <c r="AJ17" s="24">
        <f t="shared" si="45"/>
        <v>1813.1313730843651</v>
      </c>
      <c r="AK17" s="24">
        <f t="shared" si="46"/>
        <v>1527.4</v>
      </c>
      <c r="AL17" s="33">
        <f t="shared" si="47"/>
        <v>56207.072565615323</v>
      </c>
      <c r="AM17" s="24">
        <f t="shared" si="48"/>
        <v>47349.4</v>
      </c>
      <c r="AN17" s="24">
        <f t="shared" si="49"/>
        <v>0</v>
      </c>
      <c r="AO17" s="24">
        <f t="shared" si="50"/>
        <v>0</v>
      </c>
      <c r="AP17" s="26">
        <f t="shared" ca="1" si="51"/>
        <v>0</v>
      </c>
      <c r="AQ17" s="26">
        <f t="shared" ca="1" si="52"/>
        <v>0</v>
      </c>
      <c r="AR17" s="26">
        <f t="shared" ca="1" si="57"/>
        <v>0</v>
      </c>
      <c r="AX17" s="23">
        <v>15</v>
      </c>
      <c r="AY17" s="27">
        <v>7.5</v>
      </c>
      <c r="AZ17" s="28">
        <v>0.17</v>
      </c>
    </row>
    <row r="18" spans="1:52" ht="39.950000000000003" customHeight="1" x14ac:dyDescent="0.25">
      <c r="A18" s="5">
        <f t="shared" si="41"/>
        <v>0</v>
      </c>
      <c r="B18" s="9" t="s">
        <v>14</v>
      </c>
      <c r="C18" s="48">
        <v>0</v>
      </c>
      <c r="D18" s="49">
        <v>78</v>
      </c>
      <c r="E18" s="49">
        <v>0</v>
      </c>
      <c r="F18" s="48">
        <v>26</v>
      </c>
      <c r="G18" s="50" t="s">
        <v>1</v>
      </c>
      <c r="H18" s="50" t="s">
        <v>1</v>
      </c>
      <c r="I18" s="50" t="s">
        <v>1</v>
      </c>
      <c r="J18" s="51">
        <v>0</v>
      </c>
      <c r="K18" s="51" t="s">
        <v>1</v>
      </c>
      <c r="L18" s="7">
        <f t="shared" ca="1" si="42"/>
        <v>50719.612800069088</v>
      </c>
      <c r="M18" s="7">
        <f t="shared" ca="1" si="43"/>
        <v>29299.010000000002</v>
      </c>
      <c r="N18" s="8">
        <f t="shared" ca="1" si="53"/>
        <v>80018.62280006909</v>
      </c>
      <c r="O18" s="71"/>
      <c r="P18" s="72"/>
      <c r="Q18" s="73"/>
      <c r="R18" s="77"/>
      <c r="S18" s="78"/>
      <c r="T18" s="79"/>
      <c r="U18" s="65"/>
      <c r="V18" s="34" t="s">
        <v>43</v>
      </c>
      <c r="W18" s="24">
        <f t="shared" ca="1" si="0"/>
        <v>108324.73907755512</v>
      </c>
      <c r="X18" s="24">
        <f ca="1">COUNTIF(O1,"Ocak")*N15
+COUNTIF(O1,"Şubat")*N16
+COUNTIF(O1,"Mart")*N17
+COUNTIF(O1,"Nisan")*N18
+COUNTIF(O1,"Mayıs")*N19
+COUNTIF(O1,"Haziran")*N20
+COUNTIF(O1,"Temmuz")*N21
+COUNTIF(O1,"Ağustos")*N22
+COUNTIF(O1,"Eylül")*N23
+COUNTIF(O1,"Ekim")*N24
+COUNTIF(O1,"Kasım")*N25
+COUNTIF(O1,"Aralık")*N26
+COUNTIF(O1,"Yıllık Toplam")*(N27)*-1
+COUNTIF(O1,"Yıllık Ortalama")*(N28)*-1</f>
        <v>-108324.73907755512</v>
      </c>
      <c r="Y18" s="25"/>
      <c r="Z18" s="20"/>
      <c r="AE18" s="31">
        <f t="shared" si="58"/>
        <v>45748</v>
      </c>
      <c r="AF18" s="31">
        <f t="shared" si="44"/>
        <v>45777</v>
      </c>
      <c r="AG18" s="32">
        <f t="shared" si="54"/>
        <v>30</v>
      </c>
      <c r="AH18" s="32">
        <f t="shared" si="55"/>
        <v>26</v>
      </c>
      <c r="AI18" s="32">
        <f t="shared" si="56"/>
        <v>4</v>
      </c>
      <c r="AJ18" s="24">
        <f t="shared" si="45"/>
        <v>1813.1313730843651</v>
      </c>
      <c r="AK18" s="24">
        <f t="shared" si="46"/>
        <v>1527.4</v>
      </c>
      <c r="AL18" s="33">
        <f t="shared" si="47"/>
        <v>54393.941192530954</v>
      </c>
      <c r="AM18" s="24">
        <f t="shared" si="48"/>
        <v>45822</v>
      </c>
      <c r="AN18" s="24">
        <f t="shared" si="49"/>
        <v>0</v>
      </c>
      <c r="AO18" s="24">
        <f t="shared" si="50"/>
        <v>0</v>
      </c>
      <c r="AP18" s="26">
        <f t="shared" ca="1" si="51"/>
        <v>0</v>
      </c>
      <c r="AQ18" s="26">
        <f t="shared" ca="1" si="52"/>
        <v>0</v>
      </c>
      <c r="AR18" s="26">
        <f t="shared" ca="1" si="57"/>
        <v>0</v>
      </c>
      <c r="AX18" s="23">
        <v>16</v>
      </c>
      <c r="AY18" s="27">
        <v>8</v>
      </c>
      <c r="AZ18" s="28">
        <v>0.18</v>
      </c>
    </row>
    <row r="19" spans="1:52" ht="39.950000000000003" customHeight="1" x14ac:dyDescent="0.25">
      <c r="A19" s="5">
        <f t="shared" si="41"/>
        <v>0</v>
      </c>
      <c r="B19" s="9" t="s">
        <v>15</v>
      </c>
      <c r="C19" s="48">
        <v>0</v>
      </c>
      <c r="D19" s="49">
        <v>78</v>
      </c>
      <c r="E19" s="49">
        <v>0</v>
      </c>
      <c r="F19" s="48">
        <v>26</v>
      </c>
      <c r="G19" s="50" t="s">
        <v>1</v>
      </c>
      <c r="H19" s="50" t="s">
        <v>1</v>
      </c>
      <c r="I19" s="50" t="s">
        <v>1</v>
      </c>
      <c r="J19" s="51">
        <v>0</v>
      </c>
      <c r="K19" s="51" t="s">
        <v>1</v>
      </c>
      <c r="L19" s="7">
        <f t="shared" ca="1" si="42"/>
        <v>52247.012800069082</v>
      </c>
      <c r="M19" s="7">
        <f t="shared" ca="1" si="43"/>
        <v>29299.010000000002</v>
      </c>
      <c r="N19" s="8">
        <f t="shared" ca="1" si="53"/>
        <v>81546.022800069084</v>
      </c>
      <c r="O19" s="71"/>
      <c r="P19" s="72"/>
      <c r="Q19" s="73"/>
      <c r="R19" s="77"/>
      <c r="S19" s="78"/>
      <c r="T19" s="79"/>
      <c r="U19" s="65"/>
      <c r="V19" s="34" t="s">
        <v>44</v>
      </c>
      <c r="W19" s="24">
        <f t="shared" ca="1" si="0"/>
        <v>13319.943507520584</v>
      </c>
      <c r="X19" s="24">
        <f ca="1">COUNTIF(O1,"Ocak")*(AA75-N15)
+COUNTIF(O1,"Şubat")*(AA76-N16)
+COUNTIF(O1,"Mart")*(AA77-N17)
+COUNTIF(O1,"Nisan")*(AA78-N18)
+COUNTIF(O1,"Mayıs")*(AA79-N19)
+COUNTIF(O1,"Haziran")*(AA80-N20)
+COUNTIF(O1,"Temmuz")*(AA81-N21)
+COUNTIF(O1,"Ağustos")*(AA82-N22)
+COUNTIF(O1,"Eylül")*(AA83-N23)
+COUNTIF(O1,"Ekim")*(AA84-N24)
+COUNTIF(O1,"Kasım")*(AA85-N25)
+COUNTIF(O1,"Aralık")*(AA86-N26)
+COUNTIF(O1,"Yıllık Toplam")*(AA87-N27)*-1
+COUNTIF(O1,"Yıllık Ortalama")*(AA88-N28)*-1</f>
        <v>13319.943507520584</v>
      </c>
      <c r="Y19" s="25"/>
      <c r="Z19" s="20"/>
      <c r="AA19" s="35">
        <f>(2273)</f>
        <v>2273</v>
      </c>
      <c r="AB19" s="23" t="s">
        <v>0</v>
      </c>
      <c r="AC19" s="24">
        <f>($AA$32*$AA$19)</f>
        <v>2301.539788</v>
      </c>
      <c r="AD19" s="24">
        <f>($AB$32*$AA$19)</f>
        <v>2301.539788</v>
      </c>
      <c r="AE19" s="31">
        <f t="shared" si="58"/>
        <v>45778</v>
      </c>
      <c r="AF19" s="31">
        <f t="shared" si="44"/>
        <v>45808</v>
      </c>
      <c r="AG19" s="32">
        <f t="shared" si="54"/>
        <v>31</v>
      </c>
      <c r="AH19" s="32">
        <f t="shared" si="55"/>
        <v>27</v>
      </c>
      <c r="AI19" s="32">
        <f t="shared" si="56"/>
        <v>4</v>
      </c>
      <c r="AJ19" s="24">
        <f t="shared" si="45"/>
        <v>1813.1313730843651</v>
      </c>
      <c r="AK19" s="24">
        <f t="shared" si="46"/>
        <v>1527.4</v>
      </c>
      <c r="AL19" s="33">
        <f t="shared" si="47"/>
        <v>56207.072565615323</v>
      </c>
      <c r="AM19" s="24">
        <f t="shared" si="48"/>
        <v>47349.4</v>
      </c>
      <c r="AN19" s="24">
        <f t="shared" si="49"/>
        <v>0</v>
      </c>
      <c r="AO19" s="24">
        <f t="shared" si="50"/>
        <v>0</v>
      </c>
      <c r="AP19" s="26">
        <f t="shared" ca="1" si="51"/>
        <v>0</v>
      </c>
      <c r="AQ19" s="26">
        <f t="shared" ca="1" si="52"/>
        <v>0</v>
      </c>
      <c r="AR19" s="26">
        <f t="shared" ca="1" si="57"/>
        <v>0</v>
      </c>
      <c r="AX19" s="23">
        <v>17</v>
      </c>
      <c r="AY19" s="27">
        <v>8.5</v>
      </c>
      <c r="AZ19" s="28">
        <v>0.19</v>
      </c>
    </row>
    <row r="20" spans="1:52" ht="39.950000000000003" customHeight="1" x14ac:dyDescent="0.25">
      <c r="A20" s="5">
        <f t="shared" si="41"/>
        <v>0</v>
      </c>
      <c r="B20" s="9" t="s">
        <v>16</v>
      </c>
      <c r="C20" s="48">
        <v>0</v>
      </c>
      <c r="D20" s="49">
        <v>78</v>
      </c>
      <c r="E20" s="49">
        <v>0</v>
      </c>
      <c r="F20" s="48">
        <v>26</v>
      </c>
      <c r="G20" s="50" t="s">
        <v>1</v>
      </c>
      <c r="H20" s="50" t="s">
        <v>1</v>
      </c>
      <c r="I20" s="50" t="s">
        <v>1</v>
      </c>
      <c r="J20" s="51">
        <v>0</v>
      </c>
      <c r="K20" s="51" t="s">
        <v>1</v>
      </c>
      <c r="L20" s="7">
        <f t="shared" ca="1" si="42"/>
        <v>96541.612800069066</v>
      </c>
      <c r="M20" s="7">
        <f t="shared" ca="1" si="43"/>
        <v>29299.010000000002</v>
      </c>
      <c r="N20" s="8">
        <f t="shared" ca="1" si="53"/>
        <v>125840.62280006908</v>
      </c>
      <c r="O20" s="71"/>
      <c r="P20" s="72"/>
      <c r="Q20" s="73"/>
      <c r="R20" s="77"/>
      <c r="S20" s="78"/>
      <c r="T20" s="79"/>
      <c r="U20" s="65"/>
      <c r="V20" s="25" t="s">
        <v>24</v>
      </c>
      <c r="W20" s="25" t="s">
        <v>72</v>
      </c>
      <c r="X20" s="25"/>
      <c r="Y20" s="25"/>
      <c r="Z20" s="20"/>
      <c r="AA20" s="35">
        <f>(250)</f>
        <v>250</v>
      </c>
      <c r="AB20" s="23" t="s">
        <v>0</v>
      </c>
      <c r="AC20" s="24">
        <f>($AA$32*$AA$20*2)</f>
        <v>506.27800000000002</v>
      </c>
      <c r="AD20" s="24">
        <f>($AB$32*$AA$20*2)</f>
        <v>506.27800000000002</v>
      </c>
      <c r="AE20" s="31">
        <f t="shared" si="58"/>
        <v>45809</v>
      </c>
      <c r="AF20" s="31">
        <f t="shared" si="44"/>
        <v>45838</v>
      </c>
      <c r="AG20" s="32">
        <f t="shared" si="54"/>
        <v>30</v>
      </c>
      <c r="AH20" s="32">
        <f t="shared" si="55"/>
        <v>25</v>
      </c>
      <c r="AI20" s="32">
        <f t="shared" si="56"/>
        <v>5</v>
      </c>
      <c r="AJ20" s="24">
        <f t="shared" si="45"/>
        <v>1813.1313730843651</v>
      </c>
      <c r="AK20" s="24">
        <f t="shared" si="46"/>
        <v>1527.4</v>
      </c>
      <c r="AL20" s="33">
        <f t="shared" si="47"/>
        <v>54393.941192530954</v>
      </c>
      <c r="AM20" s="24">
        <f t="shared" si="48"/>
        <v>45822</v>
      </c>
      <c r="AN20" s="24">
        <f t="shared" si="49"/>
        <v>0</v>
      </c>
      <c r="AO20" s="24">
        <f t="shared" si="50"/>
        <v>0</v>
      </c>
      <c r="AP20" s="26">
        <f t="shared" ca="1" si="51"/>
        <v>0</v>
      </c>
      <c r="AQ20" s="26">
        <f t="shared" ca="1" si="52"/>
        <v>0</v>
      </c>
      <c r="AR20" s="26">
        <f t="shared" ca="1" si="57"/>
        <v>0</v>
      </c>
      <c r="AX20" s="23">
        <v>18</v>
      </c>
      <c r="AY20" s="27">
        <v>9</v>
      </c>
      <c r="AZ20" s="28">
        <v>0.2</v>
      </c>
    </row>
    <row r="21" spans="1:52" ht="39.950000000000003" customHeight="1" x14ac:dyDescent="0.25">
      <c r="A21" s="5">
        <f t="shared" si="41"/>
        <v>0</v>
      </c>
      <c r="B21" s="9" t="s">
        <v>17</v>
      </c>
      <c r="C21" s="48">
        <v>0</v>
      </c>
      <c r="D21" s="49">
        <v>78</v>
      </c>
      <c r="E21" s="49">
        <v>0</v>
      </c>
      <c r="F21" s="48">
        <v>26</v>
      </c>
      <c r="G21" s="50" t="s">
        <v>1</v>
      </c>
      <c r="H21" s="50" t="s">
        <v>1</v>
      </c>
      <c r="I21" s="50" t="s">
        <v>1</v>
      </c>
      <c r="J21" s="51">
        <v>0</v>
      </c>
      <c r="K21" s="51" t="s">
        <v>1</v>
      </c>
      <c r="L21" s="7">
        <f t="shared" ca="1" si="42"/>
        <v>61234.286654356154</v>
      </c>
      <c r="M21" s="7">
        <f t="shared" ca="1" si="43"/>
        <v>33051.804499999998</v>
      </c>
      <c r="N21" s="8">
        <f t="shared" ca="1" si="53"/>
        <v>94286.091154356152</v>
      </c>
      <c r="O21" s="71"/>
      <c r="P21" s="72"/>
      <c r="Q21" s="73"/>
      <c r="R21" s="77"/>
      <c r="S21" s="78"/>
      <c r="T21" s="79"/>
      <c r="U21" s="65"/>
      <c r="V21" s="36" t="s">
        <v>23</v>
      </c>
      <c r="W21" s="37" t="s">
        <v>90</v>
      </c>
      <c r="X21" s="25"/>
      <c r="Y21" s="25"/>
      <c r="Z21" s="20"/>
      <c r="AA21" s="35">
        <f>(AA20)</f>
        <v>250</v>
      </c>
      <c r="AB21" s="23" t="s">
        <v>0</v>
      </c>
      <c r="AC21" s="24">
        <f>($AA$32*$AA$21)</f>
        <v>253.13900000000001</v>
      </c>
      <c r="AD21" s="24">
        <f>($AB$32*$AA$21)</f>
        <v>253.13900000000001</v>
      </c>
      <c r="AE21" s="31">
        <f t="shared" si="58"/>
        <v>45839</v>
      </c>
      <c r="AF21" s="31">
        <f t="shared" si="44"/>
        <v>45869</v>
      </c>
      <c r="AG21" s="32">
        <f t="shared" si="54"/>
        <v>31</v>
      </c>
      <c r="AH21" s="32">
        <f t="shared" si="55"/>
        <v>27</v>
      </c>
      <c r="AI21" s="32">
        <f t="shared" si="56"/>
        <v>4</v>
      </c>
      <c r="AJ21" s="24">
        <f t="shared" si="45"/>
        <v>2139.4926460986931</v>
      </c>
      <c r="AK21" s="24">
        <f>COUNTIF($A$1,"Kaptan / Makinist")*($AC$1)
+COUNTIF($A$1,"Güverte Lostromosu")*($AC$2)
+COUNTIF($A$1,"(%100) Gemici / Yağcı")*($AC$3)
+COUNTIF($A$1,"(%95) Gemici / Yağcı")*($AC$4)</f>
        <v>1802.33</v>
      </c>
      <c r="AL21" s="33">
        <f t="shared" si="47"/>
        <v>66324.272029059473</v>
      </c>
      <c r="AM21" s="24">
        <f t="shared" si="48"/>
        <v>55872.229999999996</v>
      </c>
      <c r="AN21" s="24">
        <f t="shared" si="49"/>
        <v>0</v>
      </c>
      <c r="AO21" s="24">
        <f t="shared" si="50"/>
        <v>0</v>
      </c>
      <c r="AP21" s="26">
        <f t="shared" ca="1" si="51"/>
        <v>0</v>
      </c>
      <c r="AQ21" s="26">
        <f t="shared" ca="1" si="52"/>
        <v>0</v>
      </c>
      <c r="AR21" s="26">
        <f t="shared" ca="1" si="57"/>
        <v>0</v>
      </c>
      <c r="AX21" s="23">
        <v>19</v>
      </c>
      <c r="AY21" s="27">
        <v>9.5</v>
      </c>
      <c r="AZ21" s="28">
        <v>0.21</v>
      </c>
    </row>
    <row r="22" spans="1:52" ht="39.950000000000003" customHeight="1" x14ac:dyDescent="0.25">
      <c r="A22" s="5">
        <f t="shared" si="41"/>
        <v>0</v>
      </c>
      <c r="B22" s="9" t="s">
        <v>18</v>
      </c>
      <c r="C22" s="48">
        <v>0</v>
      </c>
      <c r="D22" s="49">
        <v>78</v>
      </c>
      <c r="E22" s="49">
        <v>0</v>
      </c>
      <c r="F22" s="48">
        <v>26</v>
      </c>
      <c r="G22" s="50" t="s">
        <v>1</v>
      </c>
      <c r="H22" s="50" t="s">
        <v>1</v>
      </c>
      <c r="I22" s="50" t="s">
        <v>1</v>
      </c>
      <c r="J22" s="51">
        <v>0</v>
      </c>
      <c r="K22" s="51" t="s">
        <v>1</v>
      </c>
      <c r="L22" s="7">
        <f t="shared" ca="1" si="42"/>
        <v>61234.286654356154</v>
      </c>
      <c r="M22" s="7">
        <f t="shared" ca="1" si="43"/>
        <v>33051.804499999998</v>
      </c>
      <c r="N22" s="8">
        <f t="shared" ca="1" si="53"/>
        <v>94286.091154356152</v>
      </c>
      <c r="O22" s="71"/>
      <c r="P22" s="72"/>
      <c r="Q22" s="73"/>
      <c r="R22" s="77"/>
      <c r="S22" s="78"/>
      <c r="T22" s="79"/>
      <c r="U22" s="65"/>
      <c r="V22" s="36" t="s">
        <v>25</v>
      </c>
      <c r="W22" s="38" t="s">
        <v>49</v>
      </c>
      <c r="X22" s="25"/>
      <c r="Y22" s="25"/>
      <c r="Z22" s="20"/>
      <c r="AA22" s="34">
        <f>(1.5)</f>
        <v>1.5</v>
      </c>
      <c r="AB22" s="23" t="s">
        <v>0</v>
      </c>
      <c r="AC22" s="24">
        <f>($AC$20*$AA$22)</f>
        <v>759.41700000000003</v>
      </c>
      <c r="AD22" s="24">
        <f>($AD$20*$AA$22)</f>
        <v>759.41700000000003</v>
      </c>
      <c r="AE22" s="31">
        <f t="shared" si="58"/>
        <v>45870</v>
      </c>
      <c r="AF22" s="31">
        <f t="shared" si="44"/>
        <v>45900</v>
      </c>
      <c r="AG22" s="32">
        <f t="shared" si="54"/>
        <v>31</v>
      </c>
      <c r="AH22" s="32">
        <f t="shared" si="55"/>
        <v>26</v>
      </c>
      <c r="AI22" s="32">
        <f t="shared" si="56"/>
        <v>5</v>
      </c>
      <c r="AJ22" s="24">
        <f t="shared" si="45"/>
        <v>2139.4926460986931</v>
      </c>
      <c r="AK22" s="24">
        <f>COUNTIF($A$1,"Kaptan / Makinist")*($AC$1)
+COUNTIF($A$1,"Güverte Lostromosu")*($AC$2)
+COUNTIF($A$1,"(%100) Gemici / Yağcı")*($AC$3)
+COUNTIF($A$1,"(%95) Gemici / Yağcı")*($AC$4)</f>
        <v>1802.33</v>
      </c>
      <c r="AL22" s="33">
        <f t="shared" si="47"/>
        <v>66324.272029059473</v>
      </c>
      <c r="AM22" s="24">
        <f t="shared" si="48"/>
        <v>55872.229999999996</v>
      </c>
      <c r="AN22" s="24">
        <f t="shared" si="49"/>
        <v>0</v>
      </c>
      <c r="AO22" s="24">
        <f t="shared" si="50"/>
        <v>0</v>
      </c>
      <c r="AP22" s="26">
        <f t="shared" ca="1" si="51"/>
        <v>0</v>
      </c>
      <c r="AQ22" s="26">
        <f t="shared" ca="1" si="52"/>
        <v>0</v>
      </c>
      <c r="AR22" s="26">
        <f t="shared" ca="1" si="57"/>
        <v>0</v>
      </c>
      <c r="AX22" s="23">
        <v>20</v>
      </c>
      <c r="AY22" s="27">
        <v>10</v>
      </c>
      <c r="AZ22" s="28">
        <v>0.22</v>
      </c>
    </row>
    <row r="23" spans="1:52" ht="39.950000000000003" customHeight="1" x14ac:dyDescent="0.25">
      <c r="A23" s="5">
        <f t="shared" si="41"/>
        <v>0</v>
      </c>
      <c r="B23" s="9" t="s">
        <v>19</v>
      </c>
      <c r="C23" s="48">
        <v>0</v>
      </c>
      <c r="D23" s="49">
        <v>78</v>
      </c>
      <c r="E23" s="49">
        <v>0</v>
      </c>
      <c r="F23" s="48">
        <v>26</v>
      </c>
      <c r="G23" s="50" t="s">
        <v>1</v>
      </c>
      <c r="H23" s="50" t="s">
        <v>1</v>
      </c>
      <c r="I23" s="50" t="s">
        <v>1</v>
      </c>
      <c r="J23" s="51">
        <v>0</v>
      </c>
      <c r="K23" s="51" t="s">
        <v>1</v>
      </c>
      <c r="L23" s="7">
        <f t="shared" ca="1" si="42"/>
        <v>129067.9071811669</v>
      </c>
      <c r="M23" s="7">
        <f t="shared" ca="1" si="43"/>
        <v>36496.108999999997</v>
      </c>
      <c r="N23" s="8">
        <f t="shared" ca="1" si="53"/>
        <v>165564.01618116689</v>
      </c>
      <c r="O23" s="71"/>
      <c r="P23" s="72"/>
      <c r="Q23" s="73"/>
      <c r="R23" s="77"/>
      <c r="S23" s="78"/>
      <c r="T23" s="79"/>
      <c r="U23" s="65"/>
      <c r="V23" s="36" t="s">
        <v>45</v>
      </c>
      <c r="W23" s="24" t="s">
        <v>54</v>
      </c>
      <c r="X23" s="25"/>
      <c r="Y23" s="25"/>
      <c r="Z23" s="20"/>
      <c r="AA23" s="23" t="s">
        <v>0</v>
      </c>
      <c r="AB23" s="23" t="s">
        <v>0</v>
      </c>
      <c r="AC23" s="24">
        <f>($AC$22/2)</f>
        <v>379.70850000000002</v>
      </c>
      <c r="AD23" s="24">
        <f>($AD$22/2)</f>
        <v>379.70850000000002</v>
      </c>
      <c r="AE23" s="31">
        <f t="shared" si="58"/>
        <v>45901</v>
      </c>
      <c r="AF23" s="31">
        <f t="shared" si="44"/>
        <v>45930</v>
      </c>
      <c r="AG23" s="32">
        <f t="shared" si="54"/>
        <v>30</v>
      </c>
      <c r="AH23" s="32">
        <f t="shared" si="55"/>
        <v>26</v>
      </c>
      <c r="AI23" s="32">
        <f t="shared" si="56"/>
        <v>4</v>
      </c>
      <c r="AJ23" s="24">
        <f t="shared" si="45"/>
        <v>2439.0261274201398</v>
      </c>
      <c r="AK23" s="24">
        <f>COUNTIF($A$1,"Kaptan / Makinist")*($AD$1)
+COUNTIF($A$1,"Güverte Lostromosu")*($AD$2)
+COUNTIF($A$1,"(%100) Gemici / Yağcı")*($AD$3)
+COUNTIF($A$1,"(%95) Gemici / Yağcı")*($AD$4)</f>
        <v>2054.66</v>
      </c>
      <c r="AL23" s="33">
        <f t="shared" si="47"/>
        <v>73170.783822604193</v>
      </c>
      <c r="AM23" s="24">
        <f t="shared" si="48"/>
        <v>61639.799999999996</v>
      </c>
      <c r="AN23" s="24">
        <f t="shared" si="49"/>
        <v>0</v>
      </c>
      <c r="AO23" s="24">
        <f t="shared" si="50"/>
        <v>0</v>
      </c>
      <c r="AP23" s="26">
        <f t="shared" ca="1" si="51"/>
        <v>0</v>
      </c>
      <c r="AQ23" s="26">
        <f t="shared" ca="1" si="52"/>
        <v>0</v>
      </c>
      <c r="AR23" s="26">
        <f t="shared" ca="1" si="57"/>
        <v>0</v>
      </c>
      <c r="AX23" s="23">
        <v>21</v>
      </c>
      <c r="AY23" s="27">
        <v>10.5</v>
      </c>
      <c r="AZ23" s="28">
        <v>0.23</v>
      </c>
    </row>
    <row r="24" spans="1:52" ht="39.950000000000003" customHeight="1" x14ac:dyDescent="0.25">
      <c r="A24" s="5">
        <f t="shared" si="41"/>
        <v>0</v>
      </c>
      <c r="B24" s="9" t="s">
        <v>20</v>
      </c>
      <c r="C24" s="48">
        <v>0</v>
      </c>
      <c r="D24" s="49">
        <v>78</v>
      </c>
      <c r="E24" s="49">
        <v>0</v>
      </c>
      <c r="F24" s="48">
        <v>26</v>
      </c>
      <c r="G24" s="50" t="s">
        <v>1</v>
      </c>
      <c r="H24" s="50" t="s">
        <v>1</v>
      </c>
      <c r="I24" s="50" t="s">
        <v>1</v>
      </c>
      <c r="J24" s="51">
        <v>0</v>
      </c>
      <c r="K24" s="51" t="s">
        <v>1</v>
      </c>
      <c r="L24" s="7">
        <f t="shared" ca="1" si="42"/>
        <v>69482.767181166884</v>
      </c>
      <c r="M24" s="7">
        <f t="shared" ca="1" si="43"/>
        <v>36496.108999999997</v>
      </c>
      <c r="N24" s="8">
        <f t="shared" ca="1" si="53"/>
        <v>105978.87618116688</v>
      </c>
      <c r="O24" s="71"/>
      <c r="P24" s="72"/>
      <c r="Q24" s="73"/>
      <c r="R24" s="77"/>
      <c r="S24" s="78"/>
      <c r="T24" s="79"/>
      <c r="U24" s="65"/>
      <c r="V24" s="36" t="s">
        <v>29</v>
      </c>
      <c r="W24" s="38" t="s">
        <v>50</v>
      </c>
      <c r="X24" s="25"/>
      <c r="Y24" s="25"/>
      <c r="Z24" s="20"/>
      <c r="AE24" s="31">
        <f t="shared" si="58"/>
        <v>45931</v>
      </c>
      <c r="AF24" s="31">
        <f t="shared" si="44"/>
        <v>45961</v>
      </c>
      <c r="AG24" s="32">
        <f t="shared" si="54"/>
        <v>31</v>
      </c>
      <c r="AH24" s="32">
        <f t="shared" si="55"/>
        <v>27</v>
      </c>
      <c r="AI24" s="32">
        <f t="shared" si="56"/>
        <v>4</v>
      </c>
      <c r="AJ24" s="24">
        <f t="shared" si="45"/>
        <v>2439.0261274201398</v>
      </c>
      <c r="AK24" s="24">
        <f>COUNTIF($A$1,"Kaptan / Makinist")*($AD$1)
+COUNTIF($A$1,"Güverte Lostromosu")*($AD$2)
+COUNTIF($A$1,"(%100) Gemici / Yağcı")*($AD$3)
+COUNTIF($A$1,"(%95) Gemici / Yağcı")*($AD$4)</f>
        <v>2054.66</v>
      </c>
      <c r="AL24" s="33">
        <f t="shared" si="47"/>
        <v>75609.809950024326</v>
      </c>
      <c r="AM24" s="24">
        <f t="shared" si="48"/>
        <v>63694.459999999992</v>
      </c>
      <c r="AN24" s="24">
        <f t="shared" si="49"/>
        <v>0</v>
      </c>
      <c r="AO24" s="24">
        <f t="shared" si="50"/>
        <v>0</v>
      </c>
      <c r="AP24" s="26">
        <f t="shared" ca="1" si="51"/>
        <v>0</v>
      </c>
      <c r="AQ24" s="26">
        <f t="shared" ca="1" si="52"/>
        <v>0</v>
      </c>
      <c r="AR24" s="26">
        <f t="shared" ca="1" si="57"/>
        <v>0</v>
      </c>
      <c r="AX24" s="23">
        <v>22</v>
      </c>
      <c r="AY24" s="27">
        <v>11</v>
      </c>
      <c r="AZ24" s="28">
        <v>0.24</v>
      </c>
    </row>
    <row r="25" spans="1:52" ht="39.950000000000003" customHeight="1" x14ac:dyDescent="0.25">
      <c r="A25" s="5">
        <f t="shared" si="41"/>
        <v>0</v>
      </c>
      <c r="B25" s="9" t="s">
        <v>21</v>
      </c>
      <c r="C25" s="48">
        <v>0</v>
      </c>
      <c r="D25" s="49">
        <v>78</v>
      </c>
      <c r="E25" s="49">
        <v>0</v>
      </c>
      <c r="F25" s="48">
        <v>26</v>
      </c>
      <c r="G25" s="50" t="s">
        <v>1</v>
      </c>
      <c r="H25" s="50" t="s">
        <v>1</v>
      </c>
      <c r="I25" s="50" t="s">
        <v>1</v>
      </c>
      <c r="J25" s="51">
        <v>0</v>
      </c>
      <c r="K25" s="51" t="s">
        <v>1</v>
      </c>
      <c r="L25" s="7">
        <f t="shared" ca="1" si="42"/>
        <v>67428.107181166881</v>
      </c>
      <c r="M25" s="7">
        <f t="shared" ca="1" si="43"/>
        <v>36496.108999999997</v>
      </c>
      <c r="N25" s="8">
        <f t="shared" ca="1" si="53"/>
        <v>103924.21618116688</v>
      </c>
      <c r="O25" s="71"/>
      <c r="P25" s="72"/>
      <c r="Q25" s="73"/>
      <c r="R25" s="77"/>
      <c r="S25" s="78"/>
      <c r="T25" s="79"/>
      <c r="U25" s="65"/>
      <c r="V25" s="36" t="s">
        <v>27</v>
      </c>
      <c r="W25" s="37" t="s">
        <v>91</v>
      </c>
      <c r="X25" s="25"/>
      <c r="Y25" s="25"/>
      <c r="Z25" s="20"/>
      <c r="AA25" s="23">
        <f>(1500)</f>
        <v>1500</v>
      </c>
      <c r="AB25" s="23" t="s">
        <v>0</v>
      </c>
      <c r="AC25" s="24">
        <f>($AA$32*$AA$25)</f>
        <v>1518.8340000000001</v>
      </c>
      <c r="AD25" s="24">
        <f>($AB$32*$AA$25)</f>
        <v>1518.8340000000001</v>
      </c>
      <c r="AE25" s="31">
        <f t="shared" si="58"/>
        <v>45962</v>
      </c>
      <c r="AF25" s="31">
        <f t="shared" si="44"/>
        <v>45991</v>
      </c>
      <c r="AG25" s="32">
        <f t="shared" si="54"/>
        <v>30</v>
      </c>
      <c r="AH25" s="32">
        <f t="shared" si="55"/>
        <v>25</v>
      </c>
      <c r="AI25" s="32">
        <f t="shared" si="56"/>
        <v>5</v>
      </c>
      <c r="AJ25" s="24">
        <f t="shared" si="45"/>
        <v>2439.0261274201398</v>
      </c>
      <c r="AK25" s="24">
        <f>COUNTIF($A$1,"Kaptan / Makinist")*($AD$1)
+COUNTIF($A$1,"Güverte Lostromosu")*($AD$2)
+COUNTIF($A$1,"(%100) Gemici / Yağcı")*($AD$3)
+COUNTIF($A$1,"(%95) Gemici / Yağcı")*($AD$4)</f>
        <v>2054.66</v>
      </c>
      <c r="AL25" s="33">
        <f t="shared" si="47"/>
        <v>73170.783822604193</v>
      </c>
      <c r="AM25" s="24">
        <f t="shared" si="48"/>
        <v>61639.799999999996</v>
      </c>
      <c r="AN25" s="24">
        <f t="shared" si="49"/>
        <v>0</v>
      </c>
      <c r="AO25" s="24">
        <f t="shared" si="50"/>
        <v>0</v>
      </c>
      <c r="AP25" s="26">
        <f t="shared" ca="1" si="51"/>
        <v>0</v>
      </c>
      <c r="AQ25" s="26">
        <f t="shared" ca="1" si="52"/>
        <v>0</v>
      </c>
      <c r="AR25" s="26">
        <f t="shared" ca="1" si="57"/>
        <v>0</v>
      </c>
      <c r="AX25" s="23">
        <v>23</v>
      </c>
      <c r="AY25" s="27">
        <v>11.5</v>
      </c>
      <c r="AZ25" s="28">
        <v>0.25</v>
      </c>
    </row>
    <row r="26" spans="1:52" ht="39.950000000000003" customHeight="1" x14ac:dyDescent="0.25">
      <c r="A26" s="5">
        <f t="shared" si="41"/>
        <v>0</v>
      </c>
      <c r="B26" s="9" t="s">
        <v>22</v>
      </c>
      <c r="C26" s="48">
        <v>0</v>
      </c>
      <c r="D26" s="49">
        <v>78</v>
      </c>
      <c r="E26" s="49">
        <v>0</v>
      </c>
      <c r="F26" s="48">
        <v>26</v>
      </c>
      <c r="G26" s="50" t="s">
        <v>1</v>
      </c>
      <c r="H26" s="50" t="s">
        <v>1</v>
      </c>
      <c r="I26" s="50" t="s">
        <v>1</v>
      </c>
      <c r="J26" s="51">
        <v>0</v>
      </c>
      <c r="K26" s="51" t="s">
        <v>1</v>
      </c>
      <c r="L26" s="7">
        <f t="shared" ca="1" si="42"/>
        <v>131329.99831434045</v>
      </c>
      <c r="M26" s="7">
        <f t="shared" ca="1" si="43"/>
        <v>36496.108999999997</v>
      </c>
      <c r="N26" s="8">
        <f t="shared" ca="1" si="53"/>
        <v>167826.10731434045</v>
      </c>
      <c r="O26" s="71"/>
      <c r="P26" s="72"/>
      <c r="Q26" s="73"/>
      <c r="R26" s="77"/>
      <c r="S26" s="78"/>
      <c r="T26" s="79"/>
      <c r="U26" s="65"/>
      <c r="V26" s="36" t="s">
        <v>28</v>
      </c>
      <c r="W26" s="37" t="s">
        <v>92</v>
      </c>
      <c r="X26" s="25"/>
      <c r="Y26" s="25"/>
      <c r="Z26" s="20"/>
      <c r="AA26" s="23">
        <f>(8000)</f>
        <v>8000</v>
      </c>
      <c r="AB26" s="23" t="s">
        <v>0</v>
      </c>
      <c r="AC26" s="24">
        <f>($AA$32*$AA$26)</f>
        <v>8100.4480000000003</v>
      </c>
      <c r="AD26" s="24">
        <f>($AB$32*$AA$26)</f>
        <v>8100.4480000000003</v>
      </c>
      <c r="AE26" s="31">
        <f t="shared" si="58"/>
        <v>45992</v>
      </c>
      <c r="AF26" s="31">
        <f t="shared" si="44"/>
        <v>46022</v>
      </c>
      <c r="AG26" s="32">
        <f t="shared" si="54"/>
        <v>31</v>
      </c>
      <c r="AH26" s="32">
        <f t="shared" si="55"/>
        <v>27</v>
      </c>
      <c r="AI26" s="32">
        <f t="shared" si="56"/>
        <v>4</v>
      </c>
      <c r="AJ26" s="24">
        <f t="shared" si="45"/>
        <v>2439.0261274201398</v>
      </c>
      <c r="AK26" s="24">
        <f>COUNTIF($A$1,"Kaptan / Makinist")*($AD$1)
+COUNTIF($A$1,"Güverte Lostromosu")*($AD$2)
+COUNTIF($A$1,"(%100) Gemici / Yağcı")*($AD$3)
+COUNTIF($A$1,"(%95) Gemici / Yağcı")*($AD$4)</f>
        <v>2054.66</v>
      </c>
      <c r="AL26" s="33">
        <f t="shared" si="47"/>
        <v>75609.809950024326</v>
      </c>
      <c r="AM26" s="24">
        <f t="shared" si="48"/>
        <v>63694.459999999992</v>
      </c>
      <c r="AN26" s="24">
        <f t="shared" si="49"/>
        <v>0</v>
      </c>
      <c r="AO26" s="24">
        <f t="shared" si="50"/>
        <v>0</v>
      </c>
      <c r="AP26" s="26">
        <f t="shared" ca="1" si="51"/>
        <v>0</v>
      </c>
      <c r="AQ26" s="26">
        <f t="shared" ca="1" si="52"/>
        <v>0</v>
      </c>
      <c r="AR26" s="26">
        <f t="shared" ca="1" si="57"/>
        <v>0</v>
      </c>
      <c r="AX26" s="23">
        <v>24</v>
      </c>
      <c r="AY26" s="27">
        <v>12</v>
      </c>
      <c r="AZ26" s="28">
        <v>0.26</v>
      </c>
    </row>
    <row r="27" spans="1:52" ht="39.950000000000003" customHeight="1" x14ac:dyDescent="0.25">
      <c r="A27" s="10" t="s">
        <v>0</v>
      </c>
      <c r="B27" s="11" t="s">
        <v>77</v>
      </c>
      <c r="C27" s="12" t="s">
        <v>0</v>
      </c>
      <c r="D27" s="13">
        <f>(D15+D16+D17+D18+D19+D20+D21+D22+D23+D24+D25+D26)</f>
        <v>936</v>
      </c>
      <c r="E27" s="13">
        <f>(E15+E16+E17+E18+E19+E20+E21+E22+E23+E24+E25+E26)</f>
        <v>0</v>
      </c>
      <c r="F27" s="14">
        <f>(F15+F16+F17+F18+F19+F20+F21+F22+F23+F24+F25+F26)</f>
        <v>312</v>
      </c>
      <c r="G27" s="12" t="s">
        <v>0</v>
      </c>
      <c r="H27" s="12" t="s">
        <v>0</v>
      </c>
      <c r="I27" s="12" t="s">
        <v>0</v>
      </c>
      <c r="J27" s="3" t="s">
        <v>0</v>
      </c>
      <c r="K27" s="3" t="s">
        <v>0</v>
      </c>
      <c r="L27" s="15">
        <f t="shared" ref="L27:N27" ca="1" si="59">(L15+L16+L17+L18+L19+L20+L21+L22+L23+L24+L25+L26)</f>
        <v>916954.76393066137</v>
      </c>
      <c r="M27" s="15">
        <f t="shared" ca="1" si="59"/>
        <v>382942.10500000004</v>
      </c>
      <c r="N27" s="16">
        <f t="shared" ca="1" si="59"/>
        <v>1299896.8689306614</v>
      </c>
      <c r="O27" s="71"/>
      <c r="P27" s="72"/>
      <c r="Q27" s="73"/>
      <c r="R27" s="77"/>
      <c r="S27" s="78"/>
      <c r="T27" s="79"/>
      <c r="U27" s="65"/>
      <c r="V27" s="36" t="s">
        <v>46</v>
      </c>
      <c r="W27" s="38" t="s">
        <v>51</v>
      </c>
      <c r="X27" s="25"/>
      <c r="Y27" s="25"/>
      <c r="Z27" s="21"/>
      <c r="AA27" s="23">
        <f>(500)</f>
        <v>500</v>
      </c>
      <c r="AB27" s="23" t="s">
        <v>0</v>
      </c>
      <c r="AC27" s="24">
        <f>($AA$32*$AA$27)</f>
        <v>506.27800000000002</v>
      </c>
      <c r="AD27" s="24">
        <f>($AB$32*$AA$27)</f>
        <v>506.27800000000002</v>
      </c>
      <c r="AE27" s="39" t="s">
        <v>0</v>
      </c>
      <c r="AF27" s="39" t="s">
        <v>0</v>
      </c>
      <c r="AG27" s="40">
        <f>(AG15+AG16+AG17+AG18+AG19+AG20+AG21+AG22+AG23+AG24+AG25+AG26)</f>
        <v>365</v>
      </c>
      <c r="AH27" s="40">
        <f>(AH15+AH16+AH17+AH18+AH19+AH20+AH21+AH22+AH23+AH24+AH25+AH26)</f>
        <v>313</v>
      </c>
      <c r="AI27" s="40">
        <f>(AI15+AI16+AI17+AI18+AI19+AI20+AI21+AI22+AI23+AI24+AI25+AI26)</f>
        <v>52</v>
      </c>
      <c r="AJ27" s="24">
        <f>(AJ15+AJ16+AJ17+AJ18+AJ19+AJ20+AJ21+AJ22+AJ23+AJ24+AJ25+AJ26)</f>
        <v>24913.878040384137</v>
      </c>
      <c r="AK27" s="24">
        <f t="shared" ref="AK27" si="60">(AK15+AK16+AK17+AK18+AK19+AK20+AK21+AK22+AK23+AK24+AK25+AK26)</f>
        <v>20987.699999999997</v>
      </c>
      <c r="AL27" s="24">
        <f t="shared" ref="AL27:AM27" si="61">(AL15+AL16+AL17+AL18+AL19+AL20+AL21+AL22+AL23+AL24+AL25+AL26)</f>
        <v>758386.51013164618</v>
      </c>
      <c r="AM27" s="24">
        <f t="shared" si="61"/>
        <v>638872.38</v>
      </c>
      <c r="AN27" s="24">
        <f t="shared" ref="AN27:AO27" si="62">(AN15+AN16+AN17+AN18+AN19+AN20+AN21+AN22+AN23+AN24+AN25+AN26)</f>
        <v>0</v>
      </c>
      <c r="AO27" s="24">
        <f t="shared" si="62"/>
        <v>0</v>
      </c>
      <c r="AP27" s="24">
        <f t="shared" ref="AP27:AR27" ca="1" si="63">(AP15+AP16+AP17+AP18+AP19+AP20+AP21+AP22+AP23+AP24+AP25+AP26)</f>
        <v>0</v>
      </c>
      <c r="AQ27" s="24">
        <f t="shared" ca="1" si="63"/>
        <v>0</v>
      </c>
      <c r="AR27" s="24">
        <f t="shared" ca="1" si="63"/>
        <v>0</v>
      </c>
      <c r="AX27" s="23">
        <v>25</v>
      </c>
      <c r="AY27" s="27">
        <v>12.5</v>
      </c>
      <c r="AZ27" s="28">
        <v>0.27</v>
      </c>
    </row>
    <row r="28" spans="1:52" ht="39.950000000000003" customHeight="1" x14ac:dyDescent="0.25">
      <c r="A28" s="5">
        <f>(AN88)</f>
        <v>0</v>
      </c>
      <c r="B28" s="11" t="s">
        <v>78</v>
      </c>
      <c r="C28" s="12" t="s">
        <v>0</v>
      </c>
      <c r="D28" s="14" t="s">
        <v>0</v>
      </c>
      <c r="E28" s="12" t="s">
        <v>0</v>
      </c>
      <c r="F28" s="12" t="s">
        <v>0</v>
      </c>
      <c r="G28" s="12" t="s">
        <v>0</v>
      </c>
      <c r="H28" s="12" t="s">
        <v>0</v>
      </c>
      <c r="I28" s="12" t="s">
        <v>0</v>
      </c>
      <c r="J28" s="12" t="s">
        <v>0</v>
      </c>
      <c r="K28" s="12" t="s">
        <v>0</v>
      </c>
      <c r="L28" s="15">
        <f ca="1">(L27/12)</f>
        <v>76412.896994221781</v>
      </c>
      <c r="M28" s="15">
        <f ca="1">(M27/12)</f>
        <v>31911.842083333337</v>
      </c>
      <c r="N28" s="16">
        <f ca="1">(N27/12)</f>
        <v>108324.73907755512</v>
      </c>
      <c r="O28" s="71"/>
      <c r="P28" s="72"/>
      <c r="Q28" s="73"/>
      <c r="R28" s="68"/>
      <c r="S28" s="69"/>
      <c r="T28" s="70"/>
      <c r="U28" s="66"/>
      <c r="V28" s="36" t="s">
        <v>41</v>
      </c>
      <c r="W28" s="37" t="s">
        <v>93</v>
      </c>
      <c r="X28" s="25"/>
      <c r="Y28" s="25"/>
      <c r="Z28" s="21"/>
      <c r="AA28" s="23">
        <f>(1000)</f>
        <v>1000</v>
      </c>
      <c r="AB28" s="23" t="s">
        <v>0</v>
      </c>
      <c r="AC28" s="24">
        <f>($AA$33*$AA$28)</f>
        <v>15848.414999999999</v>
      </c>
      <c r="AD28" s="24">
        <f>($AB$33*$AA$28)</f>
        <v>15848.414999999999</v>
      </c>
      <c r="AE28" s="39" t="s">
        <v>0</v>
      </c>
      <c r="AF28" s="39" t="s">
        <v>0</v>
      </c>
      <c r="AG28" s="39" t="s">
        <v>0</v>
      </c>
      <c r="AH28" s="39" t="s">
        <v>0</v>
      </c>
      <c r="AI28" s="39" t="s">
        <v>0</v>
      </c>
      <c r="AJ28" s="24">
        <f>(AJ27/12)</f>
        <v>2076.1565033653446</v>
      </c>
      <c r="AK28" s="24">
        <f t="shared" ref="AK28" si="64">(AK27/12)</f>
        <v>1748.9749999999997</v>
      </c>
      <c r="AL28" s="24">
        <f t="shared" ref="AL28:AM28" si="65">(AL27/12)</f>
        <v>63198.875844303846</v>
      </c>
      <c r="AM28" s="24">
        <f t="shared" si="65"/>
        <v>53239.364999999998</v>
      </c>
      <c r="AN28" s="24">
        <f t="shared" ref="AN28:AO28" si="66">(AN27/12)</f>
        <v>0</v>
      </c>
      <c r="AO28" s="24">
        <f t="shared" si="66"/>
        <v>0</v>
      </c>
      <c r="AP28" s="24">
        <f t="shared" ref="AP28:AR28" ca="1" si="67">(AP27/12)</f>
        <v>0</v>
      </c>
      <c r="AQ28" s="24">
        <f t="shared" ca="1" si="67"/>
        <v>0</v>
      </c>
      <c r="AR28" s="24">
        <f t="shared" ca="1" si="67"/>
        <v>0</v>
      </c>
      <c r="AX28" s="23">
        <v>26</v>
      </c>
      <c r="AY28" s="27">
        <v>13</v>
      </c>
      <c r="AZ28" s="28">
        <v>0.28000000000000003</v>
      </c>
    </row>
    <row r="29" spans="1:52" ht="39.950000000000003" hidden="1" customHeight="1" x14ac:dyDescent="0.25">
      <c r="V29" s="36" t="s">
        <v>47</v>
      </c>
      <c r="W29" s="38" t="s">
        <v>52</v>
      </c>
      <c r="AA29" s="23">
        <f>($AA$25+$AA$26)</f>
        <v>9500</v>
      </c>
      <c r="AB29" s="23">
        <f>(2.15)</f>
        <v>2.15</v>
      </c>
      <c r="AC29" s="24">
        <f>($AA$32*$AA$29*$AB$29)</f>
        <v>20681.456299999998</v>
      </c>
      <c r="AD29" s="24">
        <f>($AB$32*$AA$29*$AB$29)</f>
        <v>20681.456299999998</v>
      </c>
      <c r="AE29" s="24">
        <f t="shared" ref="AE29:AE40" ca="1" si="68">(AQ1*0.14*-1)</f>
        <v>-308.32900000000006</v>
      </c>
      <c r="AF29" s="24">
        <f t="shared" ref="AF29:AF40" ca="1" si="69">(AQ1*0.01*-1)</f>
        <v>-22.023500000000006</v>
      </c>
      <c r="AG29" s="24">
        <f t="shared" ref="AG29:AG40" ca="1" si="70">(AK1+AE29+AF29)</f>
        <v>5979.9975000000004</v>
      </c>
      <c r="AH29" s="24">
        <f t="shared" ref="AH29:AH34" ca="1" si="71">IF($AC$17*F15&gt;=AG29,AG29,$AC$17*F15)</f>
        <v>5979.9975000000004</v>
      </c>
      <c r="AI29" s="24">
        <f t="shared" ref="AI29" ca="1" si="72">IF(AG29-AH29&lt;=0,0,AG29-AH29)</f>
        <v>0</v>
      </c>
      <c r="AJ29" s="24">
        <f t="shared" ref="AJ29:AJ40" ca="1" si="73">IF(AI29*AL75*-1&lt;=0,0,AI29*AL75*-1)</f>
        <v>0</v>
      </c>
      <c r="AK29" s="40">
        <v>30</v>
      </c>
      <c r="AL29" s="24">
        <f t="shared" ref="AL29:AL40" si="74">(AM29/AR75)</f>
        <v>2146.6190255734541</v>
      </c>
      <c r="AM29" s="24">
        <f>(1570/30*17+2120/30*13)</f>
        <v>1808.3333333333335</v>
      </c>
      <c r="AN29" s="40">
        <v>0</v>
      </c>
      <c r="AO29" s="24">
        <f t="shared" ref="AO29:AO40" si="75">(AP29/AR75)</f>
        <v>0</v>
      </c>
      <c r="AP29" s="24">
        <f t="shared" ref="AP29:AP40" si="76">(AK15*AN29)</f>
        <v>0</v>
      </c>
      <c r="AX29" s="23">
        <v>27</v>
      </c>
      <c r="AY29" s="27">
        <v>13.5</v>
      </c>
      <c r="AZ29" s="28">
        <v>0.28999999999999998</v>
      </c>
    </row>
    <row r="30" spans="1:52" ht="39.950000000000003" hidden="1" customHeight="1" x14ac:dyDescent="0.25">
      <c r="V30" s="36" t="s">
        <v>26</v>
      </c>
      <c r="W30" s="37" t="s">
        <v>94</v>
      </c>
      <c r="AA30" s="23" t="s">
        <v>0</v>
      </c>
      <c r="AB30" s="23" t="s">
        <v>0</v>
      </c>
      <c r="AC30" s="24">
        <f>($AC$25+$AC$26+$AC$27+$AC$28+$AC$29)</f>
        <v>46655.431299999997</v>
      </c>
      <c r="AD30" s="24">
        <f>($AD$25+$AD$26+$AD$27+$AD$28+$AD$29)</f>
        <v>46655.431299999997</v>
      </c>
      <c r="AE30" s="24">
        <f t="shared" ca="1" si="68"/>
        <v>-308.32900000000006</v>
      </c>
      <c r="AF30" s="24">
        <f t="shared" ca="1" si="69"/>
        <v>-22.023500000000006</v>
      </c>
      <c r="AG30" s="24">
        <f t="shared" ca="1" si="70"/>
        <v>5979.9975000000004</v>
      </c>
      <c r="AH30" s="24">
        <f t="shared" ca="1" si="71"/>
        <v>5979.9975000000004</v>
      </c>
      <c r="AI30" s="24">
        <f t="shared" ref="AI30" ca="1" si="77">IF(AG30-AH30&lt;=0,0,AG30-AH30)</f>
        <v>0</v>
      </c>
      <c r="AJ30" s="24">
        <f t="shared" ca="1" si="73"/>
        <v>0</v>
      </c>
      <c r="AK30" s="40">
        <v>30</v>
      </c>
      <c r="AL30" s="24">
        <f t="shared" si="74"/>
        <v>2516.5893092437173</v>
      </c>
      <c r="AM30" s="24">
        <f>(2120/30*AK30)</f>
        <v>2120</v>
      </c>
      <c r="AN30" s="40">
        <v>0</v>
      </c>
      <c r="AO30" s="24">
        <f t="shared" si="75"/>
        <v>0</v>
      </c>
      <c r="AP30" s="24">
        <f t="shared" si="76"/>
        <v>0</v>
      </c>
      <c r="AR30" s="24">
        <f t="shared" ref="AR30:AR41" ca="1" si="78">(AL15+AN15+AE1+AG1+AI1+AL29+AO29+AF43+AI43+AK43)</f>
        <v>94413.287333790358</v>
      </c>
      <c r="AX30" s="23">
        <v>28</v>
      </c>
      <c r="AY30" s="27">
        <v>14</v>
      </c>
      <c r="AZ30" s="28">
        <v>0.3</v>
      </c>
    </row>
    <row r="31" spans="1:52" ht="39.950000000000003" hidden="1" customHeight="1" x14ac:dyDescent="0.25">
      <c r="V31" s="36" t="s">
        <v>40</v>
      </c>
      <c r="W31" s="37" t="s">
        <v>95</v>
      </c>
      <c r="AE31" s="24">
        <f t="shared" ca="1" si="68"/>
        <v>-715.15219999999999</v>
      </c>
      <c r="AF31" s="24">
        <f t="shared" ca="1" si="69"/>
        <v>-51.082299999999996</v>
      </c>
      <c r="AG31" s="24">
        <f t="shared" ca="1" si="70"/>
        <v>8449.9954999999991</v>
      </c>
      <c r="AH31" s="24">
        <f t="shared" ca="1" si="71"/>
        <v>6240</v>
      </c>
      <c r="AI31" s="24">
        <f t="shared" ref="AI31:AI40" ca="1" si="79">IF(AG31-AH31&lt;=0,0,AG31-AH31)</f>
        <v>2209.9954999999991</v>
      </c>
      <c r="AJ31" s="24">
        <f t="shared" ca="1" si="73"/>
        <v>0</v>
      </c>
      <c r="AK31" s="40">
        <v>30</v>
      </c>
      <c r="AL31" s="24">
        <f t="shared" si="74"/>
        <v>2516.5893092437173</v>
      </c>
      <c r="AM31" s="24">
        <f t="shared" ref="AM31:AM40" si="80">(2120/30*AK31)</f>
        <v>2120</v>
      </c>
      <c r="AN31" s="40">
        <v>30</v>
      </c>
      <c r="AO31" s="24">
        <f t="shared" si="75"/>
        <v>54393.941192530954</v>
      </c>
      <c r="AP31" s="24">
        <f t="shared" si="76"/>
        <v>45822</v>
      </c>
      <c r="AR31" s="24">
        <f t="shared" ca="1" si="78"/>
        <v>89343.863498207531</v>
      </c>
      <c r="AX31" s="23">
        <v>29</v>
      </c>
      <c r="AY31" s="27">
        <v>14.5</v>
      </c>
      <c r="AZ31" s="28">
        <v>0.31</v>
      </c>
    </row>
    <row r="32" spans="1:52" ht="39.950000000000003" hidden="1" customHeight="1" x14ac:dyDescent="0.25">
      <c r="V32" s="41" t="s">
        <v>42</v>
      </c>
      <c r="W32" s="38" t="s">
        <v>74</v>
      </c>
      <c r="AA32" s="42">
        <v>1.012556</v>
      </c>
      <c r="AB32" s="42">
        <v>1.012556</v>
      </c>
      <c r="AC32" s="23" t="s">
        <v>0</v>
      </c>
      <c r="AD32" s="34" t="s">
        <v>0</v>
      </c>
      <c r="AE32" s="24">
        <f t="shared" ca="1" si="68"/>
        <v>-715.15219999999999</v>
      </c>
      <c r="AF32" s="24">
        <f t="shared" ca="1" si="69"/>
        <v>-51.082299999999996</v>
      </c>
      <c r="AG32" s="24">
        <f t="shared" ca="1" si="70"/>
        <v>8449.9954999999991</v>
      </c>
      <c r="AH32" s="24">
        <f t="shared" ca="1" si="71"/>
        <v>6240</v>
      </c>
      <c r="AI32" s="24">
        <f t="shared" ca="1" si="79"/>
        <v>2209.9954999999991</v>
      </c>
      <c r="AJ32" s="24">
        <f t="shared" ca="1" si="73"/>
        <v>0</v>
      </c>
      <c r="AK32" s="40">
        <v>30</v>
      </c>
      <c r="AL32" s="24">
        <f t="shared" si="74"/>
        <v>2516.5893092437173</v>
      </c>
      <c r="AM32" s="24">
        <f t="shared" si="80"/>
        <v>2120</v>
      </c>
      <c r="AN32" s="40">
        <v>0</v>
      </c>
      <c r="AO32" s="24">
        <f t="shared" si="75"/>
        <v>0</v>
      </c>
      <c r="AP32" s="24">
        <f t="shared" si="76"/>
        <v>0</v>
      </c>
      <c r="AR32" s="24">
        <f t="shared" ca="1" si="78"/>
        <v>152083.08080999157</v>
      </c>
      <c r="AX32" s="23">
        <v>30</v>
      </c>
      <c r="AY32" s="27">
        <v>15</v>
      </c>
      <c r="AZ32" s="28">
        <v>0.32</v>
      </c>
    </row>
    <row r="33" spans="22:52" ht="39.950000000000003" hidden="1" customHeight="1" x14ac:dyDescent="0.25">
      <c r="V33" s="36" t="s">
        <v>48</v>
      </c>
      <c r="W33" s="37" t="s">
        <v>75</v>
      </c>
      <c r="AA33" s="42">
        <v>15.848414999999999</v>
      </c>
      <c r="AB33" s="42">
        <v>15.848414999999999</v>
      </c>
      <c r="AC33" s="23" t="s">
        <v>0</v>
      </c>
      <c r="AD33" s="34" t="s">
        <v>0</v>
      </c>
      <c r="AE33" s="24">
        <f t="shared" ca="1" si="68"/>
        <v>-715.15219999999999</v>
      </c>
      <c r="AF33" s="24">
        <f t="shared" ca="1" si="69"/>
        <v>-51.082299999999996</v>
      </c>
      <c r="AG33" s="24">
        <f t="shared" ca="1" si="70"/>
        <v>8449.9954999999991</v>
      </c>
      <c r="AH33" s="24">
        <f t="shared" ca="1" si="71"/>
        <v>6240</v>
      </c>
      <c r="AI33" s="24">
        <f t="shared" ca="1" si="79"/>
        <v>2209.9954999999991</v>
      </c>
      <c r="AJ33" s="24">
        <f t="shared" ca="1" si="73"/>
        <v>0</v>
      </c>
      <c r="AK33" s="40">
        <v>30</v>
      </c>
      <c r="AL33" s="24">
        <f t="shared" si="74"/>
        <v>2516.5893092437173</v>
      </c>
      <c r="AM33" s="24">
        <f t="shared" si="80"/>
        <v>2120</v>
      </c>
      <c r="AN33" s="40">
        <v>0</v>
      </c>
      <c r="AO33" s="24">
        <f t="shared" si="75"/>
        <v>0</v>
      </c>
      <c r="AP33" s="24">
        <f t="shared" si="76"/>
        <v>0</v>
      </c>
      <c r="AR33" s="24">
        <f t="shared" ca="1" si="78"/>
        <v>95876.008244376266</v>
      </c>
      <c r="AX33" s="23">
        <v>31</v>
      </c>
      <c r="AY33" s="27">
        <v>15.5</v>
      </c>
      <c r="AZ33" s="28">
        <v>0.33</v>
      </c>
    </row>
    <row r="34" spans="22:52" ht="39.950000000000003" hidden="1" customHeight="1" x14ac:dyDescent="0.25">
      <c r="AA34" s="42">
        <v>0.32111499999999998</v>
      </c>
      <c r="AB34" s="42">
        <v>0.32111499999999998</v>
      </c>
      <c r="AC34" s="23" t="s">
        <v>0</v>
      </c>
      <c r="AD34" s="34" t="s">
        <v>0</v>
      </c>
      <c r="AE34" s="24">
        <f t="shared" ca="1" si="68"/>
        <v>-715.15219999999999</v>
      </c>
      <c r="AF34" s="24">
        <f t="shared" ca="1" si="69"/>
        <v>-51.082299999999996</v>
      </c>
      <c r="AG34" s="24">
        <f t="shared" ca="1" si="70"/>
        <v>8449.9954999999991</v>
      </c>
      <c r="AH34" s="24">
        <f t="shared" ca="1" si="71"/>
        <v>6240</v>
      </c>
      <c r="AI34" s="24">
        <f t="shared" ca="1" si="79"/>
        <v>2209.9954999999991</v>
      </c>
      <c r="AJ34" s="24">
        <f t="shared" ca="1" si="73"/>
        <v>0</v>
      </c>
      <c r="AK34" s="40">
        <v>30</v>
      </c>
      <c r="AL34" s="24">
        <f t="shared" si="74"/>
        <v>2516.5893092437173</v>
      </c>
      <c r="AM34" s="24">
        <f t="shared" si="80"/>
        <v>2120</v>
      </c>
      <c r="AN34" s="40">
        <v>30</v>
      </c>
      <c r="AO34" s="24">
        <f t="shared" si="75"/>
        <v>54393.941192530954</v>
      </c>
      <c r="AP34" s="24">
        <f t="shared" si="76"/>
        <v>45822</v>
      </c>
      <c r="AR34" s="24">
        <f t="shared" ca="1" si="78"/>
        <v>97689.139617460634</v>
      </c>
      <c r="AX34" s="23">
        <v>32</v>
      </c>
      <c r="AY34" s="27">
        <v>16</v>
      </c>
      <c r="AZ34" s="28">
        <v>0.34</v>
      </c>
    </row>
    <row r="35" spans="22:52" ht="39.950000000000003" hidden="1" customHeight="1" x14ac:dyDescent="0.25">
      <c r="AE35" s="24">
        <f t="shared" ca="1" si="68"/>
        <v>-715.15219999999999</v>
      </c>
      <c r="AF35" s="24">
        <f t="shared" ca="1" si="69"/>
        <v>-51.082299999999996</v>
      </c>
      <c r="AG35" s="24">
        <f t="shared" ca="1" si="70"/>
        <v>8449.9954999999991</v>
      </c>
      <c r="AH35" s="24">
        <f t="shared" ref="AH35:AH40" ca="1" si="81">IF($AD$17*F21&gt;=AG35,AG35,$AD$17*F21)</f>
        <v>6240</v>
      </c>
      <c r="AI35" s="24">
        <f t="shared" ca="1" si="79"/>
        <v>2209.9954999999991</v>
      </c>
      <c r="AJ35" s="24">
        <f t="shared" ca="1" si="73"/>
        <v>0</v>
      </c>
      <c r="AK35" s="40">
        <v>30</v>
      </c>
      <c r="AL35" s="24">
        <f t="shared" si="74"/>
        <v>2516.5893092437173</v>
      </c>
      <c r="AM35" s="24">
        <f t="shared" si="80"/>
        <v>2120</v>
      </c>
      <c r="AN35" s="40">
        <v>0</v>
      </c>
      <c r="AO35" s="24">
        <f t="shared" si="75"/>
        <v>0</v>
      </c>
      <c r="AP35" s="24">
        <f t="shared" si="76"/>
        <v>0</v>
      </c>
      <c r="AR35" s="24">
        <f t="shared" ca="1" si="78"/>
        <v>150269.94943690722</v>
      </c>
      <c r="AX35" s="23">
        <v>33</v>
      </c>
      <c r="AY35" s="27">
        <v>16.5</v>
      </c>
      <c r="AZ35" s="28">
        <v>0.35</v>
      </c>
    </row>
    <row r="36" spans="22:52" ht="39.950000000000003" hidden="1" customHeight="1" x14ac:dyDescent="0.25">
      <c r="AA36" s="39">
        <f>($AA$37*2)</f>
        <v>19000</v>
      </c>
      <c r="AB36" s="23" t="s">
        <v>0</v>
      </c>
      <c r="AC36" s="24">
        <f>($AA$32*$AA$36)</f>
        <v>19238.563999999998</v>
      </c>
      <c r="AD36" s="24">
        <f>($AB$32*$AA$36)</f>
        <v>19238.563999999998</v>
      </c>
      <c r="AE36" s="24">
        <f t="shared" ca="1" si="68"/>
        <v>-715.15219999999999</v>
      </c>
      <c r="AF36" s="24">
        <f t="shared" ca="1" si="69"/>
        <v>-51.082299999999996</v>
      </c>
      <c r="AG36" s="24">
        <f t="shared" ca="1" si="70"/>
        <v>8449.9954999999991</v>
      </c>
      <c r="AH36" s="24">
        <f t="shared" ca="1" si="81"/>
        <v>6240</v>
      </c>
      <c r="AI36" s="24">
        <f t="shared" ca="1" si="79"/>
        <v>2209.9954999999991</v>
      </c>
      <c r="AJ36" s="24">
        <f t="shared" ca="1" si="73"/>
        <v>0</v>
      </c>
      <c r="AK36" s="40">
        <v>30</v>
      </c>
      <c r="AL36" s="24">
        <f t="shared" si="74"/>
        <v>2516.5893092437173</v>
      </c>
      <c r="AM36" s="24">
        <f t="shared" si="80"/>
        <v>2120</v>
      </c>
      <c r="AN36" s="40">
        <v>0</v>
      </c>
      <c r="AO36" s="24">
        <f t="shared" si="75"/>
        <v>0</v>
      </c>
      <c r="AP36" s="24">
        <f t="shared" si="76"/>
        <v>0</v>
      </c>
      <c r="AR36" s="24">
        <f t="shared" ca="1" si="78"/>
        <v>113161.17045755035</v>
      </c>
      <c r="AX36" s="23">
        <v>34</v>
      </c>
      <c r="AY36" s="27">
        <v>17</v>
      </c>
      <c r="AZ36" s="28">
        <v>0.36</v>
      </c>
    </row>
    <row r="37" spans="22:52" ht="39.950000000000003" hidden="1" customHeight="1" x14ac:dyDescent="0.25">
      <c r="AA37" s="39">
        <f>(9500)</f>
        <v>9500</v>
      </c>
      <c r="AB37" s="23" t="s">
        <v>0</v>
      </c>
      <c r="AC37" s="24">
        <f>($AA$32*$AA$37)</f>
        <v>9619.2819999999992</v>
      </c>
      <c r="AD37" s="24">
        <f>($AB$32*$AA$37)</f>
        <v>9619.2819999999992</v>
      </c>
      <c r="AE37" s="24">
        <f t="shared" ca="1" si="68"/>
        <v>-715.15219999999999</v>
      </c>
      <c r="AF37" s="24">
        <f t="shared" ca="1" si="69"/>
        <v>-51.082299999999996</v>
      </c>
      <c r="AG37" s="24">
        <f t="shared" ca="1" si="70"/>
        <v>8449.9954999999991</v>
      </c>
      <c r="AH37" s="24">
        <f t="shared" ca="1" si="81"/>
        <v>6240</v>
      </c>
      <c r="AI37" s="24">
        <f t="shared" ca="1" si="79"/>
        <v>2209.9954999999991</v>
      </c>
      <c r="AJ37" s="24">
        <f t="shared" ca="1" si="73"/>
        <v>0</v>
      </c>
      <c r="AK37" s="40">
        <v>30</v>
      </c>
      <c r="AL37" s="24">
        <f t="shared" si="74"/>
        <v>2516.5893092437173</v>
      </c>
      <c r="AM37" s="24">
        <f t="shared" si="80"/>
        <v>2120</v>
      </c>
      <c r="AN37" s="40">
        <v>30</v>
      </c>
      <c r="AO37" s="24">
        <f t="shared" si="75"/>
        <v>73170.783822604193</v>
      </c>
      <c r="AP37" s="24">
        <f t="shared" si="76"/>
        <v>61639.799999999996</v>
      </c>
      <c r="AR37" s="24">
        <f t="shared" ca="1" si="78"/>
        <v>113161.17045755035</v>
      </c>
      <c r="AX37" s="23">
        <v>35</v>
      </c>
      <c r="AY37" s="27">
        <v>17.5</v>
      </c>
      <c r="AZ37" s="28">
        <v>0.37</v>
      </c>
    </row>
    <row r="38" spans="22:52" ht="39.950000000000003" hidden="1" customHeight="1" x14ac:dyDescent="0.25">
      <c r="AE38" s="24">
        <f t="shared" ca="1" si="68"/>
        <v>-715.15219999999999</v>
      </c>
      <c r="AF38" s="24">
        <f t="shared" ca="1" si="69"/>
        <v>-51.082299999999996</v>
      </c>
      <c r="AG38" s="24">
        <f t="shared" ca="1" si="70"/>
        <v>8449.9954999999991</v>
      </c>
      <c r="AH38" s="24">
        <f t="shared" ca="1" si="81"/>
        <v>6240</v>
      </c>
      <c r="AI38" s="24">
        <f t="shared" ca="1" si="79"/>
        <v>2209.9954999999991</v>
      </c>
      <c r="AJ38" s="24">
        <f t="shared" ca="1" si="73"/>
        <v>0</v>
      </c>
      <c r="AK38" s="40">
        <v>30</v>
      </c>
      <c r="AL38" s="24">
        <f t="shared" si="74"/>
        <v>2516.5893092437173</v>
      </c>
      <c r="AM38" s="24">
        <f t="shared" si="80"/>
        <v>2120</v>
      </c>
      <c r="AN38" s="40">
        <v>0</v>
      </c>
      <c r="AO38" s="24">
        <f t="shared" si="75"/>
        <v>0</v>
      </c>
      <c r="AP38" s="24">
        <f t="shared" si="76"/>
        <v>0</v>
      </c>
      <c r="AR38" s="24">
        <f t="shared" ca="1" si="78"/>
        <v>198093.09809373703</v>
      </c>
      <c r="AX38" s="23">
        <v>36</v>
      </c>
      <c r="AY38" s="27">
        <v>18</v>
      </c>
      <c r="AZ38" s="28">
        <v>0.38</v>
      </c>
    </row>
    <row r="39" spans="22:52" ht="39.950000000000003" hidden="1" customHeight="1" x14ac:dyDescent="0.25">
      <c r="AA39" s="24">
        <v>9900</v>
      </c>
      <c r="AB39" s="23" t="s">
        <v>0</v>
      </c>
      <c r="AC39" s="23" t="s">
        <v>0</v>
      </c>
      <c r="AD39" s="23" t="s">
        <v>0</v>
      </c>
      <c r="AE39" s="24">
        <f t="shared" ca="1" si="68"/>
        <v>-715.15219999999999</v>
      </c>
      <c r="AF39" s="24">
        <f t="shared" ca="1" si="69"/>
        <v>-51.082299999999996</v>
      </c>
      <c r="AG39" s="24">
        <f t="shared" ca="1" si="70"/>
        <v>8449.9954999999991</v>
      </c>
      <c r="AH39" s="24">
        <f t="shared" ca="1" si="81"/>
        <v>6240</v>
      </c>
      <c r="AI39" s="24">
        <f t="shared" ca="1" si="79"/>
        <v>2209.9954999999991</v>
      </c>
      <c r="AJ39" s="24">
        <f t="shared" ca="1" si="73"/>
        <v>0</v>
      </c>
      <c r="AK39" s="40">
        <v>30</v>
      </c>
      <c r="AL39" s="24">
        <f t="shared" si="74"/>
        <v>2516.5893092437173</v>
      </c>
      <c r="AM39" s="24">
        <f t="shared" si="80"/>
        <v>2120</v>
      </c>
      <c r="AN39" s="40">
        <v>0</v>
      </c>
      <c r="AO39" s="24">
        <f t="shared" si="75"/>
        <v>0</v>
      </c>
      <c r="AP39" s="24">
        <f t="shared" si="76"/>
        <v>0</v>
      </c>
      <c r="AR39" s="24">
        <f t="shared" ca="1" si="78"/>
        <v>127361.34039855296</v>
      </c>
      <c r="AX39" s="23">
        <v>37</v>
      </c>
      <c r="AY39" s="27">
        <v>18.5</v>
      </c>
      <c r="AZ39" s="28">
        <v>0.39</v>
      </c>
    </row>
    <row r="40" spans="22:52" ht="39.950000000000003" hidden="1" customHeight="1" x14ac:dyDescent="0.25">
      <c r="AA40" s="24">
        <v>5700</v>
      </c>
      <c r="AB40" s="23" t="s">
        <v>0</v>
      </c>
      <c r="AC40" s="23" t="s">
        <v>0</v>
      </c>
      <c r="AD40" s="23" t="s">
        <v>0</v>
      </c>
      <c r="AE40" s="24">
        <f t="shared" ca="1" si="68"/>
        <v>-715.15219999999999</v>
      </c>
      <c r="AF40" s="24">
        <f t="shared" ca="1" si="69"/>
        <v>-51.082299999999996</v>
      </c>
      <c r="AG40" s="24">
        <f t="shared" ca="1" si="70"/>
        <v>8449.9954999999991</v>
      </c>
      <c r="AH40" s="24">
        <f t="shared" ca="1" si="81"/>
        <v>6240</v>
      </c>
      <c r="AI40" s="24">
        <f t="shared" ca="1" si="79"/>
        <v>2209.9954999999991</v>
      </c>
      <c r="AJ40" s="24">
        <f t="shared" ca="1" si="73"/>
        <v>0</v>
      </c>
      <c r="AK40" s="40">
        <v>30</v>
      </c>
      <c r="AL40" s="24">
        <f t="shared" si="74"/>
        <v>2516.5893092437173</v>
      </c>
      <c r="AM40" s="24">
        <f t="shared" si="80"/>
        <v>2120</v>
      </c>
      <c r="AN40" s="40">
        <v>30</v>
      </c>
      <c r="AO40" s="24">
        <f t="shared" si="75"/>
        <v>73170.783822604193</v>
      </c>
      <c r="AP40" s="24">
        <f t="shared" si="76"/>
        <v>61639.799999999996</v>
      </c>
      <c r="AR40" s="24">
        <f t="shared" ca="1" si="78"/>
        <v>124922.31427113283</v>
      </c>
      <c r="AX40" s="23">
        <v>38</v>
      </c>
      <c r="AY40" s="27">
        <v>19</v>
      </c>
      <c r="AZ40" s="28">
        <v>0.4</v>
      </c>
    </row>
    <row r="41" spans="22:52" ht="39.950000000000003" hidden="1" customHeight="1" x14ac:dyDescent="0.25">
      <c r="AA41" s="24">
        <v>2400</v>
      </c>
      <c r="AB41" s="23" t="s">
        <v>0</v>
      </c>
      <c r="AC41" s="23" t="s">
        <v>0</v>
      </c>
      <c r="AD41" s="23" t="s">
        <v>0</v>
      </c>
      <c r="AE41" s="24">
        <f t="shared" ref="AE41:AJ41" ca="1" si="82">(AE29+AE30+AE31+AE32+AE33+AE34+AE35+AE36+AE37+AE38+AE39+AE40)</f>
        <v>-7768.1800000000021</v>
      </c>
      <c r="AF41" s="24">
        <f t="shared" ca="1" si="82"/>
        <v>-554.86999999999989</v>
      </c>
      <c r="AG41" s="24">
        <f t="shared" ca="1" si="82"/>
        <v>96459.95</v>
      </c>
      <c r="AH41" s="24">
        <f t="shared" ca="1" si="82"/>
        <v>74359.994999999995</v>
      </c>
      <c r="AI41" s="24">
        <f t="shared" ca="1" si="82"/>
        <v>22099.954999999987</v>
      </c>
      <c r="AJ41" s="24">
        <f t="shared" ca="1" si="82"/>
        <v>0</v>
      </c>
      <c r="AK41" s="40">
        <f>(AK29+AK30+AK31+AK32+AK33+AK34+AK35+AK36+AK37+AK38+AK39+AK40)</f>
        <v>360</v>
      </c>
      <c r="AL41" s="24">
        <f t="shared" ref="AL41:AM41" si="83">(AL29+AL30+AL31+AL32+AL33+AL34+AL35+AL36+AL37+AL38+AL39+AL40)</f>
        <v>29829.101427254351</v>
      </c>
      <c r="AM41" s="24">
        <f t="shared" si="83"/>
        <v>25128.333333333336</v>
      </c>
      <c r="AN41" s="40">
        <f>(AN29+AN30+AN31+AN32+AN33+AN34+AN35+AN36+AN37+AN38+AN39+AN40)</f>
        <v>120</v>
      </c>
      <c r="AO41" s="24">
        <f t="shared" ref="AO41:AP41" si="84">(AO29+AO30+AO31+AO32+AO33+AO34+AO35+AO36+AO37+AO38+AO39+AO40)</f>
        <v>255129.45003027029</v>
      </c>
      <c r="AP41" s="24">
        <f t="shared" si="84"/>
        <v>214923.59999999998</v>
      </c>
      <c r="AR41" s="24">
        <f t="shared" ca="1" si="78"/>
        <v>200532.12422115717</v>
      </c>
      <c r="AX41" s="23">
        <v>39</v>
      </c>
      <c r="AY41" s="27">
        <v>19.5</v>
      </c>
      <c r="AZ41" s="28">
        <v>0.41</v>
      </c>
    </row>
    <row r="42" spans="22:52" ht="39.950000000000003" hidden="1" customHeight="1" x14ac:dyDescent="0.25">
      <c r="AC42" s="23" t="s">
        <v>1</v>
      </c>
      <c r="AD42" s="23" t="s">
        <v>73</v>
      </c>
      <c r="AE42" s="24">
        <f t="shared" ref="AE42:AJ42" ca="1" si="85">(AE41/12)</f>
        <v>-647.34833333333347</v>
      </c>
      <c r="AF42" s="24">
        <f t="shared" ca="1" si="85"/>
        <v>-46.239166666666655</v>
      </c>
      <c r="AG42" s="24">
        <f t="shared" ca="1" si="85"/>
        <v>8038.3291666666664</v>
      </c>
      <c r="AH42" s="24">
        <f t="shared" ca="1" si="85"/>
        <v>6196.6662499999993</v>
      </c>
      <c r="AI42" s="24">
        <f t="shared" ca="1" si="85"/>
        <v>1841.6629166666655</v>
      </c>
      <c r="AJ42" s="24">
        <f t="shared" ca="1" si="85"/>
        <v>0</v>
      </c>
      <c r="AK42" s="39" t="s">
        <v>0</v>
      </c>
      <c r="AL42" s="24">
        <f t="shared" ref="AL42:AM42" si="86">(AL41/12)</f>
        <v>2485.7584522711959</v>
      </c>
      <c r="AM42" s="24">
        <f t="shared" si="86"/>
        <v>2094.0277777777778</v>
      </c>
      <c r="AN42" s="39" t="s">
        <v>0</v>
      </c>
      <c r="AO42" s="24">
        <f t="shared" ref="AO42:AP42" si="87">(AO41/12)</f>
        <v>21260.787502522526</v>
      </c>
      <c r="AP42" s="24">
        <f t="shared" si="87"/>
        <v>17910.3</v>
      </c>
      <c r="AR42" s="24">
        <f ca="1">(AR30+AR31+AR32+AR33+AR34+AR35+AR36+AR37+AR38+AR39+AR40+AR41)</f>
        <v>1556906.5468404144</v>
      </c>
      <c r="AX42" s="23">
        <v>40</v>
      </c>
      <c r="AY42" s="27">
        <v>20</v>
      </c>
      <c r="AZ42" s="28">
        <v>0.42</v>
      </c>
    </row>
    <row r="43" spans="22:52" ht="39.950000000000003" hidden="1" customHeight="1" x14ac:dyDescent="0.25">
      <c r="AC43" s="34" t="s">
        <v>53</v>
      </c>
      <c r="AD43" s="26">
        <v>1900</v>
      </c>
      <c r="AE43" s="40">
        <v>30</v>
      </c>
      <c r="AF43" s="24">
        <v>5000</v>
      </c>
      <c r="AG43" s="24">
        <f t="shared" ref="AG43:AG54" si="88">AF43*AR75</f>
        <v>4212.05</v>
      </c>
      <c r="AH43" s="40">
        <v>30</v>
      </c>
      <c r="AI43" s="24">
        <f t="shared" ref="AI43:AI54" si="89">(AJ43/AR75)</f>
        <v>0</v>
      </c>
      <c r="AJ43" s="24">
        <f>COUNTIF($A$1,"Kaptan / Makinist")*(0/30*AH43)</f>
        <v>0</v>
      </c>
      <c r="AK43" s="26">
        <f t="shared" ref="AK43:AK54" si="90">COUNTIF(G15,"Yok")*(0)
+COUNTIF(G15,"Askerlik Yardımı")*($AD$43/AR75)
+COUNTIF(G15,"Cenaze Yardımı (Anne-Baba)")*($AD$44+$AD$44*0.00759)
+COUNTIF(G15,"Cenaze Yardımı (Eş-Çocuk)")*($AD$45+$AD$45*0.00759)
+COUNTIF(G15,"Cenaze Yardımı (İşçi-İş Kazası Sonucu)")*($AD$46+$AD$46*0.00759)
+COUNTIF(G15,"Cenaze Yardımı (İşçi-Tabii Sebepler Sonucu)")*($AD$47+$AD$47*0.00759)
+COUNTIF(G15,"Doğal Afet Yardımı")*($AD$48+$AD$48*0.00759)
+COUNTIF(G15,"Eğitim Yardımı (Çocuk-İlköğretim)")*($AD$49/AR75)
+COUNTIF(G15,"Eğitim Yardımı (Çocuk-Ortaöğretim)")*($AD$50/AR75)
+COUNTIF(G15,"Eğitim Yardımı (Çocuk-Lise)")*($AD$51/AR75)
+COUNTIF(G15,"Eğitim Yardımı (Çocuk-Yükseköğretim)")*($AD$52/AR75)
+COUNTIF(G15,"Eğitim Yardımı (İşçi-Lise)")*($AD$53/AR75)
+COUNTIF(G15,"Eğitim Yardımı (İşçi-Yükseköğretim)")*($AD$54/AR75)
+COUNTIF(G15,"Evlilik Yardımı")*($AD$55+$AD$55*0.00759)
+COUNTIF(G15,"Gıda Yardımı")*($AD$56/AR75)
+COUNTIF(G15,"İş Kazası veya Meslek Hastalığı Tazminatı")*($AD$57+$AD$57*0.00759)
+COUNTIF(H15,"Yok")*(0)
+COUNTIF(H15,"Askerlik Yardımı")*($AD$43/AR75)
+COUNTIF(H15,"Cenaze Yardımı (Anne-Baba)")*($AD$44+$AD$44*0.00759)
+COUNTIF(H15,"Cenaze Yardımı (Eş-Çocuk)")*($AD$45+$AD$45*0.00759)
+COUNTIF(H15,"Cenaze Yardımı (İşçi-İş Kazası Sonucu)")*($AD$46+$AD$46*0.00759)
+COUNTIF(H15,"Cenaze Yardımı (İşçi-Tabii Sebepler Sonucu)")*($AD$47+$AD$47*0.00759)
+COUNTIF(H15,"Doğal Afet Yardımı")*($AD$48+$AD$48*0.00759)
+COUNTIF(H15,"Eğitim Yardımı (Çocuk-İlköğretim)")*($AD$49/AR75)
+COUNTIF(H15,"Eğitim Yardımı (Çocuk-Ortaöğretim)")*($AD$50/AR75)
+COUNTIF(H15,"Eğitim Yardımı (Çocuk-Lise)")*($AD$51/AR75)
+COUNTIF(H15,"Eğitim Yardımı (Çocuk-Yükseköğretim)")*($AD$52/AR75)
+COUNTIF(H15,"Eğitim Yardımı (İşçi-Lise)")*($AD$53/AR75)
+COUNTIF(H15,"Eğitim Yardımı (İşçi-Yükseköğretim)")*($AD$54/AR75)
+COUNTIF(H15,"Evlilik Yardımı")*($AD$55+$AD$55*0.00759)
+COUNTIF(H15,"Gıda Yardımı")*($AD$56/AR75)
+COUNTIF(H15,"İş Kazası veya Meslek Hastalığı Tazminatı")*($AD$57+$AD$57*0.00759)
+COUNTIF(I15,"Yok")*(0)
+COUNTIF(I15,"Askerlik Yardımı")*($AD$43/AR75)
+COUNTIF(I15,"Cenaze Yardımı (Anne-Baba)")*($AD$44+$AD$44*0.00759)
+COUNTIF(I15,"Cenaze Yardımı (Eş-Çocuk)")*($AD$45+$AD$45*0.00759)
+COUNTIF(I15,"Cenaze Yardımı (İşçi-İş Kazası Sonucu)")*($AD$46+$AD$46*0.00759)
+COUNTIF(I15,"Cenaze Yardımı (İşçi-Tabii Sebepler Sonucu)")*($AD$47+$AD$47*0.00759)
+COUNTIF(I15,"Doğal Afet Yardımı")*($AD$48+$AD$48*0.00759)
+COUNTIF(I15,"Eğitim Yardımı (Çocuk-İlköğretim)")*($AD$49/AR75)
+COUNTIF(I15,"Eğitim Yardımı (Çocuk-Ortaöğretim)")*($AD$50/AR75)
+COUNTIF(I15,"Eğitim Yardımı (Çocuk-Lise)")*($AD$51/AR75)
+COUNTIF(I15,"Eğitim Yardımı (Çocuk-Yükseköğretim)")*($AD$52/AR75)
+COUNTIF(I15,"Eğitim Yardımı (İşçi-Lise)")*($AD$53/AR75)
+COUNTIF(I15,"Eğitim Yardımı (İşçi-Yükseköğretim)")*($AD$54/AR75)
+COUNTIF(I15,"Evlilik Yardımı")*($AD$55+$AD$55*0.00759)
+COUNTIF(I15,"Gıda Yardımı")*($AD$56/AR75)
+COUNTIF(I15,"İş Kazası veya Meslek Hastalığı Tazminatı")*($AD$57+$AD$57*0.00759)</f>
        <v>0</v>
      </c>
      <c r="AL43" s="26">
        <f t="shared" ref="AL43:AL54" si="91">COUNTIF(G15,"Yok")*(0)
+COUNTIF(G15,"Askerlik Yardımı")*(0)
+COUNTIF(G15,"Cenaze Yardımı (Anne-Baba)")*($AD$44+$AD$44*0.00759)
+COUNTIF(G15,"Cenaze Yardımı (Eş-Çocuk)")*($AD$45+$AD$45*0.00759)
+COUNTIF(G15,"Cenaze Yardımı (İşçi-İş Kazası Sonucu)")*($AD$46+$AD$46*0.00759)
+COUNTIF(G15,"Cenaze Yardımı (İşçi-Tabii Sebepler Sonucu)")*($AD$47+$AD$47*0.00759)
+COUNTIF(G15,"Doğal Afet Yardımı")*($AD$48+$AD$48*0.00759)
+COUNTIF(G15,"Eğitim Yardımı (Çocuk-İlköğretim)")*(0)
+COUNTIF(G15,"Eğitim Yardımı (Çocuk-Ortaöğretim)")*(0)
+COUNTIF(G15,"Eğitim Yardımı (Çocuk-Lise)")*(0)
+COUNTIF(G15,"Eğitim Yardımı (Çocuk-Yükseköğretim)")*(0)
+COUNTIF(G15,"Eğitim Yardımı (İşçi-Lise)")*(0)
+COUNTIF(G15,"Eğitim Yardımı (İşçi-Yükseköğretim)")*(0)
+COUNTIF(G15,"Evlilik Yardımı")*($AD$55+$AD$55*0.00759)
+COUNTIF(G15,"Gıda Yardımı")*(0)
+COUNTIF(G15,"İş Kazası veya Meslek Hastalığı Tazminatı")*($AD$57+$AD$57*0.00759)
+COUNTIF(H15,"Yok")*(0)
+COUNTIF(H15,"Askerlik Yardımı")*(0)
+COUNTIF(H15,"Cenaze Yardımı (Anne-Baba)")*($AD$44+$AD$44*0.00759)
+COUNTIF(H15,"Cenaze Yardımı (Eş-Çocuk)")*($AD$45+$AD$45*0.00759)
+COUNTIF(H15,"Cenaze Yardımı (İşçi-İş Kazası Sonucu)")*($AD$46+$AD$46*0.00759)
+COUNTIF(H15,"Cenaze Yardımı (İşçi-Tabii Sebepler Sonucu)")*($AD$47+$AD$47*0.00759)
+COUNTIF(H15,"Doğal Afet Yardımı")*($AD$48+$AD$48*0.00759)
+COUNTIF(H15,"Eğitim Yardımı (Çocuk-İlköğretim)")*(0)
+COUNTIF(H15,"Eğitim Yardımı (Çocuk-Ortaöğretim)")*(0)
+COUNTIF(H15,"Eğitim Yardımı (Çocuk-Lise)")*(0)
+COUNTIF(H15,"Eğitim Yardımı (Çocuk-Yükseköğretim)")*(0)
+COUNTIF(H15,"Eğitim Yardımı (İşçi-Lise)")*(0)
+COUNTIF(H15,"Eğitim Yardımı (İşçi-Yükseköğretim)")*(0)
+COUNTIF(H15,"Evlilik Yardımı")*($AD$55+$AD$55*0.00759)
+COUNTIF(H15,"Gıda Yardımı")*(0)
+COUNTIF(H15,"İş Kazası veya Meslek Hastalığı Tazminatı")*($AD$57+$AD$57*0.00759)
+COUNTIF(I15,"Yok")*(0)
+COUNTIF(I15,"Askerlik Yardımı")*(0)
+COUNTIF(I15,"Cenaze Yardımı (Anne-Baba)")*($AD$44+$AD$44*0.00759)
+COUNTIF(I15,"Cenaze Yardımı (Eş-Çocuk)")*($AD$45+$AD$45*0.00759)
+COUNTIF(I15,"Cenaze Yardımı (İşçi-İş Kazası Sonucu)")*($AD$46+$AD$46*0.00759)
+COUNTIF(I15,"Cenaze Yardımı (İşçi-Tabii Sebepler Sonucu)")*($AD$47+$AD$47*0.00759)
+COUNTIF(I15,"Doğal Afet Yardımı")*($AD$48+$AD$48*0.00759)
+COUNTIF(I15,"Eğitim Yardımı (Çocuk-İlköğretim)")*(0)
+COUNTIF(I15,"Eğitim Yardımı (Çocuk-Ortaöğretim)")*(0)
+COUNTIF(I15,"Eğitim Yardımı (Çocuk-Lise)")*(0)
+COUNTIF(I15,"Eğitim Yardımı (Çocuk-Yükseköğretim)")*(0)
+COUNTIF(I15,"Eğitim Yardımı (İşçi-Lise)")*(0)
+COUNTIF(I15,"Eğitim Yardımı (İşçi-Yükseköğretim)")*(0)
+COUNTIF(I15,"Evlilik Yardımı")*($AD$55+$AD$55*0.00759)
+COUNTIF(I15,"Gıda Yardımı")*(0)
+COUNTIF(I15,"İş Kazası veya Meslek Hastalığı Tazminatı")*($AD$57+$AD$57*0.00759)</f>
        <v>0</v>
      </c>
      <c r="AM43" s="26">
        <f t="shared" ref="AM43:AM54" si="92">COUNTIF(G15,"Yok")*(0)
+COUNTIF(G15,"Askerlik Yardımı")*($AD$43)
+COUNTIF(G15,"Cenaze Yardımı (Anne-Baba)")*($AD$44)
+COUNTIF(G15,"Cenaze Yardımı (Eş-Çocuk)")*($AD$45)
+COUNTIF(G15,"Cenaze Yardımı (İşçi-İş Kazası Sonucu)")*($AD$46)
+COUNTIF(G15,"Cenaze Yardımı (İşçi-Tabii Sebepler Sonucu)")*($AD$47)
+COUNTIF(G15,"Doğal Afet Yardımı")*($AD$48)
+COUNTIF(G15,"Eğitim Yardımı (Çocuk-İlköğretim)")*($AD$49)
+COUNTIF(G15,"Eğitim Yardımı (Çocuk-Ortaöğretim)")*($AD$50)
+COUNTIF(G15,"Eğitim Yardımı (Çocuk-Lise)")*($AD$51)
+COUNTIF(G15,"Eğitim Yardımı (Çocuk-Yükseköğretim)")*($AD$52)
+COUNTIF(G15,"Eğitim Yardımı (İşçi-Lise)")*($AD$53)
+COUNTIF(G15,"Eğitim Yardımı (İşçi-Yükseköğretim)")*($AD$54)
+COUNTIF(G15,"Evlilik Yardımı")*($AD$55)
+COUNTIF(G15,"Gıda Yardımı")*($AD$56)
+COUNTIF(G15,"İş Kazası veya Meslek Hastalığı Tazminatı")*($AD$57)
+COUNTIF(H15,"Yok")*(0)
+COUNTIF(H15,"Askerlik Yardımı")*($AD$43)
+COUNTIF(H15,"Cenaze Yardımı (Anne-Baba)")*($AD$44)
+COUNTIF(H15,"Cenaze Yardımı (Eş-Çocuk)")*($AD$45)
+COUNTIF(H15,"Cenaze Yardımı (İşçi-İş Kazası Sonucu)")*($AD$46)
+COUNTIF(H15,"Cenaze Yardımı (İşçi-Tabii Sebepler Sonucu)")*($AD$47)
+COUNTIF(H15,"Doğal Afet Yardımı")*($AD$48)
+COUNTIF(H15,"Eğitim Yardımı (Çocuk-İlköğretim)")*($AD$49)
+COUNTIF(H15,"Eğitim Yardımı (Çocuk-Ortaöğretim)")*($AD$50)
+COUNTIF(H15,"Eğitim Yardımı (Çocuk-Lise)")*($AD$51)
+COUNTIF(H15,"Eğitim Yardımı (Çocuk-Yükseköğretim)")*($AD$52)
+COUNTIF(H15,"Eğitim Yardımı (İşçi-Lise)")*($AD$53)
+COUNTIF(H15,"Eğitim Yardımı (İşçi-Yükseköğretim)")*($AD$54)
+COUNTIF(H15,"Evlilik Yardımı")*($AD$55)
+COUNTIF(H15,"Gıda Yardımı")*($AD$56)
+COUNTIF(H15,"İş Kazası veya Meslek Hastalığı Tazminatı")*($AD$57)
+COUNTIF(I15,"Yok")*(0)
+COUNTIF(I15,"Askerlik Yardımı")*($AD$43)
+COUNTIF(I15,"Cenaze Yardımı (Anne-Baba)")*($AD$44)
+COUNTIF(I15,"Cenaze Yardımı (Eş-Çocuk)")*($AD$45)
+COUNTIF(I15,"Cenaze Yardımı (İşçi-İş Kazası Sonucu)")*($AD$46)
+COUNTIF(I15,"Cenaze Yardımı (İşçi-Tabii Sebepler Sonucu)")*($AD$47)
+COUNTIF(I15,"Doğal Afet Yardımı")*($AD$48)
+COUNTIF(I15,"Eğitim Yardımı (Çocuk-İlköğretim)")*($AD$49)
+COUNTIF(I15,"Eğitim Yardımı (Çocuk-Ortaöğretim)")*($AD$50)
+COUNTIF(I15,"Eğitim Yardımı (Çocuk-Lise)")*($AD$51)
+COUNTIF(I15,"Eğitim Yardımı (Çocuk-Yükseköğretim)")*($AD$52)
+COUNTIF(I15,"Eğitim Yardımı (İşçi-Lise)")*($AD$53)
+COUNTIF(I15,"Eğitim Yardımı (İşçi-Yükseköğretim)")*($AD$54)
+COUNTIF(I15,"Evlilik Yardımı")*($AD$55)
+COUNTIF(I15,"Gıda Yardımı")*($AD$56)
+COUNTIF(I15,"İş Kazası veya Meslek Hastalığı Tazminatı")*($AD$57)</f>
        <v>0</v>
      </c>
      <c r="AN43" s="34" t="s">
        <v>10</v>
      </c>
      <c r="AO43" s="24">
        <f t="shared" ref="AO43:AO54" si="93">COUNTIF(AN43,"Var")*(AJ15*0.9*-1)</f>
        <v>-1631.8182357759285</v>
      </c>
      <c r="AP43" s="24">
        <f>(AO43*-1)</f>
        <v>1631.8182357759285</v>
      </c>
      <c r="AR43" s="24">
        <f ca="1">(AR42/12)</f>
        <v>129742.21223670121</v>
      </c>
      <c r="AX43" s="23">
        <v>41</v>
      </c>
      <c r="AY43" s="27">
        <v>20.5</v>
      </c>
      <c r="AZ43" s="28">
        <v>0.43</v>
      </c>
    </row>
    <row r="44" spans="22:52" ht="39.950000000000003" hidden="1" customHeight="1" x14ac:dyDescent="0.25">
      <c r="AC44" s="34" t="s">
        <v>59</v>
      </c>
      <c r="AD44" s="26">
        <v>4360</v>
      </c>
      <c r="AE44" s="40">
        <v>30</v>
      </c>
      <c r="AF44" s="24">
        <v>5000</v>
      </c>
      <c r="AG44" s="24">
        <f t="shared" si="88"/>
        <v>4212.05</v>
      </c>
      <c r="AH44" s="40">
        <v>30</v>
      </c>
      <c r="AI44" s="24">
        <f t="shared" si="89"/>
        <v>0</v>
      </c>
      <c r="AJ44" s="24">
        <f t="shared" ref="AJ44:AJ48" si="94">COUNTIF($A$1,"Kaptan / Makinist")*(0/30*AH44)</f>
        <v>0</v>
      </c>
      <c r="AK44" s="26">
        <f t="shared" si="90"/>
        <v>0</v>
      </c>
      <c r="AL44" s="26">
        <f t="shared" si="91"/>
        <v>0</v>
      </c>
      <c r="AM44" s="26">
        <f t="shared" si="92"/>
        <v>0</v>
      </c>
      <c r="AN44" s="34" t="s">
        <v>10</v>
      </c>
      <c r="AO44" s="24">
        <f t="shared" si="93"/>
        <v>-1631.8182357759285</v>
      </c>
      <c r="AP44" s="24">
        <f t="shared" ref="AP44:AP54" si="95">(AO44*-1)</f>
        <v>1631.8182357759285</v>
      </c>
      <c r="AX44" s="23">
        <v>42</v>
      </c>
      <c r="AY44" s="27">
        <v>21</v>
      </c>
      <c r="AZ44" s="28">
        <v>0.44</v>
      </c>
    </row>
    <row r="45" spans="22:52" ht="39.950000000000003" hidden="1" customHeight="1" x14ac:dyDescent="0.25">
      <c r="AC45" s="34" t="s">
        <v>60</v>
      </c>
      <c r="AD45" s="26">
        <v>4360</v>
      </c>
      <c r="AE45" s="40">
        <v>30</v>
      </c>
      <c r="AF45" s="24">
        <v>5000</v>
      </c>
      <c r="AG45" s="24">
        <f t="shared" si="88"/>
        <v>4212.05</v>
      </c>
      <c r="AH45" s="40">
        <v>30</v>
      </c>
      <c r="AI45" s="24">
        <f t="shared" si="89"/>
        <v>0</v>
      </c>
      <c r="AJ45" s="24">
        <f t="shared" si="94"/>
        <v>0</v>
      </c>
      <c r="AK45" s="26">
        <f t="shared" si="90"/>
        <v>0</v>
      </c>
      <c r="AL45" s="26">
        <f t="shared" si="91"/>
        <v>0</v>
      </c>
      <c r="AM45" s="26">
        <f t="shared" si="92"/>
        <v>0</v>
      </c>
      <c r="AN45" s="34" t="s">
        <v>10</v>
      </c>
      <c r="AO45" s="24">
        <f t="shared" si="93"/>
        <v>-1631.8182357759285</v>
      </c>
      <c r="AP45" s="24">
        <f t="shared" si="95"/>
        <v>1631.8182357759285</v>
      </c>
      <c r="AX45" s="23">
        <v>43</v>
      </c>
      <c r="AY45" s="27">
        <v>21.5</v>
      </c>
      <c r="AZ45" s="28">
        <v>0.45</v>
      </c>
    </row>
    <row r="46" spans="22:52" ht="39.950000000000003" hidden="1" customHeight="1" x14ac:dyDescent="0.25">
      <c r="AC46" s="34" t="s">
        <v>61</v>
      </c>
      <c r="AD46" s="26">
        <v>20000</v>
      </c>
      <c r="AE46" s="40">
        <v>30</v>
      </c>
      <c r="AF46" s="24">
        <v>5000</v>
      </c>
      <c r="AG46" s="24">
        <f t="shared" si="88"/>
        <v>4212.05</v>
      </c>
      <c r="AH46" s="40">
        <v>30</v>
      </c>
      <c r="AI46" s="24">
        <f t="shared" si="89"/>
        <v>0</v>
      </c>
      <c r="AJ46" s="24">
        <f t="shared" si="94"/>
        <v>0</v>
      </c>
      <c r="AK46" s="26">
        <f t="shared" si="90"/>
        <v>0</v>
      </c>
      <c r="AL46" s="26">
        <f t="shared" si="91"/>
        <v>0</v>
      </c>
      <c r="AM46" s="26">
        <f t="shared" si="92"/>
        <v>0</v>
      </c>
      <c r="AN46" s="34" t="s">
        <v>10</v>
      </c>
      <c r="AO46" s="24">
        <f t="shared" si="93"/>
        <v>-1631.8182357759285</v>
      </c>
      <c r="AP46" s="24">
        <f t="shared" si="95"/>
        <v>1631.8182357759285</v>
      </c>
      <c r="AX46" s="23">
        <v>44</v>
      </c>
      <c r="AY46" s="27">
        <v>22</v>
      </c>
      <c r="AZ46" s="28">
        <v>0.46</v>
      </c>
    </row>
    <row r="47" spans="22:52" ht="39.950000000000003" hidden="1" customHeight="1" x14ac:dyDescent="0.25">
      <c r="AC47" s="34" t="s">
        <v>62</v>
      </c>
      <c r="AD47" s="26">
        <v>20000</v>
      </c>
      <c r="AE47" s="40">
        <v>30</v>
      </c>
      <c r="AF47" s="24">
        <v>5000</v>
      </c>
      <c r="AG47" s="24">
        <f t="shared" si="88"/>
        <v>4212.05</v>
      </c>
      <c r="AH47" s="40">
        <v>30</v>
      </c>
      <c r="AI47" s="24">
        <f t="shared" si="89"/>
        <v>0</v>
      </c>
      <c r="AJ47" s="24">
        <f t="shared" si="94"/>
        <v>0</v>
      </c>
      <c r="AK47" s="26">
        <f t="shared" si="90"/>
        <v>0</v>
      </c>
      <c r="AL47" s="26">
        <f t="shared" si="91"/>
        <v>0</v>
      </c>
      <c r="AM47" s="26">
        <f t="shared" si="92"/>
        <v>0</v>
      </c>
      <c r="AN47" s="34" t="s">
        <v>10</v>
      </c>
      <c r="AO47" s="24">
        <f t="shared" si="93"/>
        <v>-1631.8182357759285</v>
      </c>
      <c r="AP47" s="24">
        <f t="shared" si="95"/>
        <v>1631.8182357759285</v>
      </c>
      <c r="AX47" s="23">
        <v>45</v>
      </c>
      <c r="AY47" s="27">
        <v>22.5</v>
      </c>
      <c r="AZ47" s="28">
        <v>0.47</v>
      </c>
    </row>
    <row r="48" spans="22:52" ht="39.950000000000003" hidden="1" customHeight="1" x14ac:dyDescent="0.25">
      <c r="AC48" s="34" t="s">
        <v>3</v>
      </c>
      <c r="AD48" s="26">
        <v>12000</v>
      </c>
      <c r="AE48" s="40">
        <v>30</v>
      </c>
      <c r="AF48" s="24">
        <v>5000</v>
      </c>
      <c r="AG48" s="24">
        <f t="shared" si="88"/>
        <v>4212.05</v>
      </c>
      <c r="AH48" s="40">
        <v>30</v>
      </c>
      <c r="AI48" s="24">
        <f t="shared" si="89"/>
        <v>0</v>
      </c>
      <c r="AJ48" s="24">
        <f t="shared" si="94"/>
        <v>0</v>
      </c>
      <c r="AK48" s="26">
        <f t="shared" si="90"/>
        <v>0</v>
      </c>
      <c r="AL48" s="26">
        <f t="shared" si="91"/>
        <v>0</v>
      </c>
      <c r="AM48" s="26">
        <f t="shared" si="92"/>
        <v>0</v>
      </c>
      <c r="AN48" s="34" t="s">
        <v>10</v>
      </c>
      <c r="AO48" s="24">
        <f t="shared" si="93"/>
        <v>-1631.8182357759285</v>
      </c>
      <c r="AP48" s="24">
        <f t="shared" si="95"/>
        <v>1631.8182357759285</v>
      </c>
      <c r="AX48" s="23">
        <v>46</v>
      </c>
      <c r="AY48" s="27">
        <v>23</v>
      </c>
      <c r="AZ48" s="28">
        <v>0.48</v>
      </c>
    </row>
    <row r="49" spans="26:52" ht="39.950000000000003" hidden="1" customHeight="1" x14ac:dyDescent="0.25">
      <c r="AC49" s="34" t="s">
        <v>65</v>
      </c>
      <c r="AD49" s="26">
        <v>2892</v>
      </c>
      <c r="AE49" s="40">
        <v>30</v>
      </c>
      <c r="AF49" s="24">
        <v>5900</v>
      </c>
      <c r="AG49" s="24">
        <f t="shared" si="88"/>
        <v>4970.2190000000001</v>
      </c>
      <c r="AH49" s="40">
        <v>30</v>
      </c>
      <c r="AI49" s="24">
        <f t="shared" si="89"/>
        <v>0</v>
      </c>
      <c r="AJ49" s="24">
        <f>COUNTIF($A$1,"Kaptan / Makinist")*(4000/30*AH49)</f>
        <v>0</v>
      </c>
      <c r="AK49" s="26">
        <f t="shared" si="90"/>
        <v>0</v>
      </c>
      <c r="AL49" s="26">
        <f t="shared" si="91"/>
        <v>0</v>
      </c>
      <c r="AM49" s="26">
        <f t="shared" si="92"/>
        <v>0</v>
      </c>
      <c r="AN49" s="34" t="s">
        <v>10</v>
      </c>
      <c r="AO49" s="24">
        <f t="shared" si="93"/>
        <v>-1925.5433814888238</v>
      </c>
      <c r="AP49" s="24">
        <f t="shared" si="95"/>
        <v>1925.5433814888238</v>
      </c>
      <c r="AX49" s="23">
        <v>47</v>
      </c>
      <c r="AY49" s="27">
        <v>23.5</v>
      </c>
      <c r="AZ49" s="28">
        <v>0.49</v>
      </c>
    </row>
    <row r="50" spans="26:52" ht="39.950000000000003" hidden="1" customHeight="1" x14ac:dyDescent="0.25">
      <c r="AC50" s="34" t="s">
        <v>66</v>
      </c>
      <c r="AD50" s="26">
        <v>2892</v>
      </c>
      <c r="AE50" s="40">
        <v>30</v>
      </c>
      <c r="AF50" s="24">
        <v>5900</v>
      </c>
      <c r="AG50" s="24">
        <f t="shared" si="88"/>
        <v>4970.2190000000001</v>
      </c>
      <c r="AH50" s="40">
        <v>30</v>
      </c>
      <c r="AI50" s="24">
        <f t="shared" si="89"/>
        <v>0</v>
      </c>
      <c r="AJ50" s="24">
        <f>COUNTIF($A$1,"Kaptan / Makinist")*(4000/30*AH50)</f>
        <v>0</v>
      </c>
      <c r="AK50" s="26">
        <f t="shared" si="90"/>
        <v>0</v>
      </c>
      <c r="AL50" s="26">
        <f t="shared" si="91"/>
        <v>0</v>
      </c>
      <c r="AM50" s="26">
        <f t="shared" si="92"/>
        <v>0</v>
      </c>
      <c r="AN50" s="34" t="s">
        <v>10</v>
      </c>
      <c r="AO50" s="24">
        <f t="shared" si="93"/>
        <v>-1925.5433814888238</v>
      </c>
      <c r="AP50" s="24">
        <f t="shared" si="95"/>
        <v>1925.5433814888238</v>
      </c>
      <c r="AX50" s="23">
        <v>48</v>
      </c>
      <c r="AY50" s="27">
        <v>24</v>
      </c>
      <c r="AZ50" s="28">
        <v>0.5</v>
      </c>
    </row>
    <row r="51" spans="26:52" ht="39.950000000000003" hidden="1" customHeight="1" x14ac:dyDescent="0.25">
      <c r="AC51" s="34" t="s">
        <v>67</v>
      </c>
      <c r="AD51" s="26">
        <v>3623</v>
      </c>
      <c r="AE51" s="40">
        <v>30</v>
      </c>
      <c r="AF51" s="24">
        <v>6726</v>
      </c>
      <c r="AG51" s="24">
        <f t="shared" si="88"/>
        <v>5666.0496599999997</v>
      </c>
      <c r="AH51" s="40">
        <v>30</v>
      </c>
      <c r="AI51" s="24">
        <f t="shared" si="89"/>
        <v>0</v>
      </c>
      <c r="AJ51" s="24">
        <f>COUNTIF($A$1,"Kaptan / Makinist")*(4160/30*AH51)</f>
        <v>0</v>
      </c>
      <c r="AK51" s="26">
        <f t="shared" si="90"/>
        <v>0</v>
      </c>
      <c r="AL51" s="26">
        <f t="shared" si="91"/>
        <v>0</v>
      </c>
      <c r="AM51" s="26">
        <f t="shared" si="92"/>
        <v>0</v>
      </c>
      <c r="AN51" s="34" t="s">
        <v>10</v>
      </c>
      <c r="AO51" s="24">
        <f t="shared" si="93"/>
        <v>-2195.123514678126</v>
      </c>
      <c r="AP51" s="24">
        <f t="shared" si="95"/>
        <v>2195.123514678126</v>
      </c>
      <c r="AX51" s="23">
        <v>49</v>
      </c>
      <c r="AY51" s="27">
        <v>24.5</v>
      </c>
      <c r="AZ51" s="43" t="s">
        <v>0</v>
      </c>
    </row>
    <row r="52" spans="26:52" ht="39.950000000000003" hidden="1" customHeight="1" x14ac:dyDescent="0.25">
      <c r="AC52" s="34" t="s">
        <v>68</v>
      </c>
      <c r="AD52" s="26">
        <v>5422</v>
      </c>
      <c r="AE52" s="40">
        <v>30</v>
      </c>
      <c r="AF52" s="24">
        <v>6726</v>
      </c>
      <c r="AG52" s="24">
        <f t="shared" si="88"/>
        <v>5666.0496599999997</v>
      </c>
      <c r="AH52" s="40">
        <v>30</v>
      </c>
      <c r="AI52" s="24">
        <f t="shared" si="89"/>
        <v>0</v>
      </c>
      <c r="AJ52" s="24">
        <f t="shared" ref="AJ52:AJ54" si="96">COUNTIF($A$1,"Kaptan / Makinist")*(4160/30*AH52)</f>
        <v>0</v>
      </c>
      <c r="AK52" s="26">
        <f t="shared" si="90"/>
        <v>0</v>
      </c>
      <c r="AL52" s="26">
        <f t="shared" si="91"/>
        <v>0</v>
      </c>
      <c r="AM52" s="26">
        <f t="shared" si="92"/>
        <v>0</v>
      </c>
      <c r="AN52" s="34" t="s">
        <v>10</v>
      </c>
      <c r="AO52" s="24">
        <f t="shared" si="93"/>
        <v>-2195.123514678126</v>
      </c>
      <c r="AP52" s="24">
        <f t="shared" si="95"/>
        <v>2195.123514678126</v>
      </c>
      <c r="AX52" s="23">
        <v>50</v>
      </c>
      <c r="AY52" s="27">
        <v>25</v>
      </c>
      <c r="AZ52" s="43" t="s">
        <v>0</v>
      </c>
    </row>
    <row r="53" spans="26:52" ht="39.950000000000003" hidden="1" customHeight="1" x14ac:dyDescent="0.25">
      <c r="AC53" s="34" t="s">
        <v>63</v>
      </c>
      <c r="AD53" s="26">
        <v>3623</v>
      </c>
      <c r="AE53" s="40">
        <v>30</v>
      </c>
      <c r="AF53" s="24">
        <v>6726</v>
      </c>
      <c r="AG53" s="24">
        <f t="shared" si="88"/>
        <v>5666.0496599999997</v>
      </c>
      <c r="AH53" s="40">
        <v>30</v>
      </c>
      <c r="AI53" s="24">
        <f t="shared" si="89"/>
        <v>0</v>
      </c>
      <c r="AJ53" s="24">
        <f t="shared" si="96"/>
        <v>0</v>
      </c>
      <c r="AK53" s="26">
        <f t="shared" si="90"/>
        <v>0</v>
      </c>
      <c r="AL53" s="26">
        <f t="shared" si="91"/>
        <v>0</v>
      </c>
      <c r="AM53" s="26">
        <f t="shared" si="92"/>
        <v>0</v>
      </c>
      <c r="AN53" s="34" t="s">
        <v>10</v>
      </c>
      <c r="AO53" s="24">
        <f t="shared" si="93"/>
        <v>-2195.123514678126</v>
      </c>
      <c r="AP53" s="24">
        <f t="shared" si="95"/>
        <v>2195.123514678126</v>
      </c>
      <c r="AX53" s="23">
        <v>51</v>
      </c>
      <c r="AY53" s="27">
        <v>25.5</v>
      </c>
      <c r="AZ53" s="43" t="s">
        <v>0</v>
      </c>
    </row>
    <row r="54" spans="26:52" ht="39.950000000000003" hidden="1" customHeight="1" x14ac:dyDescent="0.25">
      <c r="AC54" s="34" t="s">
        <v>64</v>
      </c>
      <c r="AD54" s="26">
        <v>5422</v>
      </c>
      <c r="AE54" s="40">
        <v>30</v>
      </c>
      <c r="AF54" s="24">
        <v>6726</v>
      </c>
      <c r="AG54" s="24">
        <f t="shared" si="88"/>
        <v>5666.0496599999997</v>
      </c>
      <c r="AH54" s="40">
        <v>30</v>
      </c>
      <c r="AI54" s="24">
        <f t="shared" si="89"/>
        <v>0</v>
      </c>
      <c r="AJ54" s="24">
        <f t="shared" si="96"/>
        <v>0</v>
      </c>
      <c r="AK54" s="26">
        <f t="shared" si="90"/>
        <v>0</v>
      </c>
      <c r="AL54" s="26">
        <f t="shared" si="91"/>
        <v>0</v>
      </c>
      <c r="AM54" s="26">
        <f t="shared" si="92"/>
        <v>0</v>
      </c>
      <c r="AN54" s="34" t="s">
        <v>10</v>
      </c>
      <c r="AO54" s="24">
        <f t="shared" si="93"/>
        <v>-2195.123514678126</v>
      </c>
      <c r="AP54" s="24">
        <f t="shared" si="95"/>
        <v>2195.123514678126</v>
      </c>
      <c r="AX54" s="23">
        <v>52</v>
      </c>
      <c r="AY54" s="27">
        <v>26</v>
      </c>
      <c r="AZ54" s="43" t="s">
        <v>0</v>
      </c>
    </row>
    <row r="55" spans="26:52" ht="39.950000000000003" hidden="1" customHeight="1" x14ac:dyDescent="0.25">
      <c r="AC55" s="34" t="s">
        <v>9</v>
      </c>
      <c r="AD55" s="26">
        <v>5000</v>
      </c>
      <c r="AE55" s="40">
        <f>(AE43+AE44+AE45+AE46+AE47+AE48+AE49+AE50+AE51+AE52+AE53+AE54)</f>
        <v>360</v>
      </c>
      <c r="AF55" s="24">
        <f t="shared" ref="AF55:AG55" si="97">(AF43+AF44+AF45+AF46+AF47+AF48+AF49+AF50+AF51+AF52+AF53+AF54)</f>
        <v>68704</v>
      </c>
      <c r="AG55" s="24">
        <f t="shared" si="97"/>
        <v>57876.936639999985</v>
      </c>
      <c r="AH55" s="40">
        <f>(AH43+AH44+AH45+AH46+AH47+AH48+AH49+AH50+AH51+AH52+AH53+AH54)</f>
        <v>360</v>
      </c>
      <c r="AI55" s="24">
        <f t="shared" ref="AI55:AJ55" si="98">(AI43+AI44+AI45+AI46+AI47+AI48+AI49+AI50+AI51+AI52+AI53+AI54)</f>
        <v>0</v>
      </c>
      <c r="AJ55" s="24">
        <f t="shared" si="98"/>
        <v>0</v>
      </c>
      <c r="AK55" s="24">
        <f t="shared" ref="AK55:AM55" si="99">(AK43+AK44+AK45+AK46+AK47+AK48+AK49+AK50+AK51+AK52+AK53+AK54)</f>
        <v>0</v>
      </c>
      <c r="AL55" s="24">
        <f t="shared" si="99"/>
        <v>0</v>
      </c>
      <c r="AM55" s="24">
        <f t="shared" si="99"/>
        <v>0</v>
      </c>
      <c r="AN55" s="39" t="s">
        <v>0</v>
      </c>
      <c r="AO55" s="24">
        <f t="shared" ref="AO55:AP55" si="100">(AO43+AO44+AO45+AO46+AO47+AO48+AO49+AO50+AO51+AO52+AO53+AO54)</f>
        <v>-22422.490236345722</v>
      </c>
      <c r="AP55" s="24">
        <f t="shared" si="100"/>
        <v>22422.490236345722</v>
      </c>
      <c r="AX55" s="23">
        <v>53</v>
      </c>
      <c r="AY55" s="27">
        <v>26.5</v>
      </c>
      <c r="AZ55" s="43" t="s">
        <v>0</v>
      </c>
    </row>
    <row r="56" spans="26:52" ht="39.950000000000003" hidden="1" customHeight="1" x14ac:dyDescent="0.25">
      <c r="AC56" s="34" t="s">
        <v>39</v>
      </c>
      <c r="AD56" s="26">
        <v>2500</v>
      </c>
      <c r="AE56" s="39" t="s">
        <v>0</v>
      </c>
      <c r="AF56" s="24">
        <f t="shared" ref="AF56:AG56" si="101">(AF55/12)</f>
        <v>5725.333333333333</v>
      </c>
      <c r="AG56" s="24">
        <f t="shared" si="101"/>
        <v>4823.0780533333318</v>
      </c>
      <c r="AH56" s="39" t="s">
        <v>0</v>
      </c>
      <c r="AI56" s="24">
        <f t="shared" ref="AI56:AJ56" si="102">(AI55/12)</f>
        <v>0</v>
      </c>
      <c r="AJ56" s="24">
        <f t="shared" si="102"/>
        <v>0</v>
      </c>
      <c r="AK56" s="24">
        <f t="shared" ref="AK56:AM56" si="103">AK55/12</f>
        <v>0</v>
      </c>
      <c r="AL56" s="24">
        <f t="shared" si="103"/>
        <v>0</v>
      </c>
      <c r="AM56" s="24">
        <f t="shared" si="103"/>
        <v>0</v>
      </c>
      <c r="AN56" s="39" t="s">
        <v>0</v>
      </c>
      <c r="AO56" s="24">
        <f t="shared" ref="AO56:AP56" si="104">(AO55/12)</f>
        <v>-1868.5408530288103</v>
      </c>
      <c r="AP56" s="24">
        <f t="shared" si="104"/>
        <v>1868.5408530288103</v>
      </c>
      <c r="AX56" s="23">
        <v>54</v>
      </c>
      <c r="AY56" s="27">
        <v>27</v>
      </c>
      <c r="AZ56" s="43" t="s">
        <v>0</v>
      </c>
    </row>
    <row r="57" spans="26:52" ht="39.950000000000003" hidden="1" customHeight="1" x14ac:dyDescent="0.25">
      <c r="AC57" s="34" t="s">
        <v>36</v>
      </c>
      <c r="AD57" s="26">
        <v>35000</v>
      </c>
      <c r="AX57" s="23">
        <v>55</v>
      </c>
      <c r="AY57" s="27">
        <v>27.5</v>
      </c>
      <c r="AZ57" s="43" t="s">
        <v>0</v>
      </c>
    </row>
    <row r="58" spans="26:52" ht="39.950000000000003" hidden="1" customHeight="1" x14ac:dyDescent="0.25">
      <c r="AC58" s="34" t="s">
        <v>2</v>
      </c>
      <c r="AD58" s="26">
        <v>1147.5</v>
      </c>
      <c r="AX58" s="23">
        <v>56</v>
      </c>
      <c r="AY58" s="27">
        <v>28</v>
      </c>
      <c r="AZ58" s="43" t="s">
        <v>0</v>
      </c>
    </row>
    <row r="59" spans="26:52" ht="39.950000000000003" hidden="1" customHeight="1" x14ac:dyDescent="0.25">
      <c r="AQ59" s="24">
        <f>(0)</f>
        <v>0</v>
      </c>
      <c r="AR59" s="44">
        <f>(0%)</f>
        <v>0</v>
      </c>
      <c r="AX59" s="23">
        <v>57</v>
      </c>
      <c r="AY59" s="27">
        <v>28.5</v>
      </c>
      <c r="AZ59" s="43" t="s">
        <v>0</v>
      </c>
    </row>
    <row r="60" spans="26:52" ht="39.950000000000003" hidden="1" customHeight="1" x14ac:dyDescent="0.25">
      <c r="Z60" s="24">
        <f t="shared" ref="Z60:Z65" si="105">($AC$11)</f>
        <v>26005.5</v>
      </c>
      <c r="AA60" s="24">
        <f>(Z60)</f>
        <v>26005.5</v>
      </c>
      <c r="AB60" s="24">
        <f t="shared" ref="AB60:AB71" si="106">(Z60-AA60)</f>
        <v>0</v>
      </c>
      <c r="AC60" s="24">
        <f>(AB60*0.00759*-1)</f>
        <v>0</v>
      </c>
      <c r="AD60" s="24">
        <f>(Z60*0.00759)</f>
        <v>197.38174500000002</v>
      </c>
      <c r="AE60" s="24">
        <f>(Z60)</f>
        <v>26005.5</v>
      </c>
      <c r="AF60" s="24">
        <f>(0)</f>
        <v>0</v>
      </c>
      <c r="AG60" s="24">
        <f>(AE60-AF60)</f>
        <v>26005.5</v>
      </c>
      <c r="AH60" s="24">
        <f>(AG60*0.14*-1)</f>
        <v>-3640.7700000000004</v>
      </c>
      <c r="AI60" s="24">
        <f>(AG60*0.01*-1)</f>
        <v>-260.05500000000001</v>
      </c>
      <c r="AJ60" s="45">
        <v>0.15</v>
      </c>
      <c r="AK60" s="24">
        <v>0</v>
      </c>
      <c r="AL60" s="24">
        <v>158000</v>
      </c>
      <c r="AM60" s="24">
        <v>0</v>
      </c>
      <c r="AN60" s="24">
        <f>(Z60+AH60+AI60-AO60)</f>
        <v>22104.674999999999</v>
      </c>
      <c r="AO60" s="24">
        <f>(0)</f>
        <v>0</v>
      </c>
      <c r="AP60" s="24">
        <f>(AN60-AO60)</f>
        <v>22104.674999999999</v>
      </c>
      <c r="AQ60" s="24">
        <f>SUM(AP$60:$AP60)</f>
        <v>22104.674999999999</v>
      </c>
      <c r="AR60" s="44">
        <f t="shared" ref="AR60:AR71" si="107">IF(AQ60&lt;=$AL$60,$AJ$60,
IF(AQ60&gt;$AL$62,
IF(AQ60&gt;$AL$63,$AJ$64,$AJ$63),
IF(AQ60&lt;$AL$61,$AJ$61,$AJ$62)))</f>
        <v>0.15</v>
      </c>
      <c r="AS60" s="34">
        <f>IF(AR60-AR59=0,0,1)</f>
        <v>1</v>
      </c>
      <c r="AT60" s="46">
        <f t="shared" ref="AT60:AT71" si="108">IF(AS60=0,AR60,(VLOOKUP($AR60,$AJ$60:$AM$64,2,0)-AQ59)/AP60*AR59+(AQ60-VLOOKUP($AR60,$AJ$60:$AM$64,2,0))/AP60*AR60)</f>
        <v>0.15</v>
      </c>
      <c r="AU60" s="24">
        <f>(ROUND(AP60*AT60,2)+VLOOKUP(AR60,$AJ$60:$AM$64,4,0))</f>
        <v>3315.7</v>
      </c>
      <c r="AV60" s="46">
        <f>(100+(100*0.00759*-1)+(100*0.01*-1)+(100*0.01*-1)+(100+100*0.14*-1+100*0.01*-1)*AT60*-1)/100</f>
        <v>0.84491000000000005</v>
      </c>
      <c r="AW60" s="24">
        <f t="shared" ref="AW60:AW71" si="109">Z60</f>
        <v>26005.5</v>
      </c>
      <c r="AX60" s="23">
        <v>58</v>
      </c>
      <c r="AY60" s="27">
        <v>29</v>
      </c>
      <c r="AZ60" s="43" t="s">
        <v>0</v>
      </c>
    </row>
    <row r="61" spans="26:52" ht="39.950000000000003" hidden="1" customHeight="1" x14ac:dyDescent="0.25">
      <c r="Z61" s="24">
        <f t="shared" si="105"/>
        <v>26005.5</v>
      </c>
      <c r="AA61" s="24">
        <f t="shared" ref="AA61:AA71" si="110">(Z61)</f>
        <v>26005.5</v>
      </c>
      <c r="AB61" s="24">
        <f t="shared" si="106"/>
        <v>0</v>
      </c>
      <c r="AC61" s="24">
        <f t="shared" ref="AC61:AC71" si="111">(AB61*0.00759*-1)</f>
        <v>0</v>
      </c>
      <c r="AD61" s="24">
        <f t="shared" ref="AD61:AD71" si="112">(Z61*0.00759)</f>
        <v>197.38174500000002</v>
      </c>
      <c r="AE61" s="24">
        <f t="shared" ref="AE61:AE71" si="113">(Z61)</f>
        <v>26005.5</v>
      </c>
      <c r="AF61" s="24">
        <f>(0)</f>
        <v>0</v>
      </c>
      <c r="AG61" s="24">
        <f t="shared" ref="AG61:AG71" si="114">(AE61-AF61)</f>
        <v>26005.5</v>
      </c>
      <c r="AH61" s="24">
        <f t="shared" ref="AH61:AH71" si="115">(AG61*0.14*-1)</f>
        <v>-3640.7700000000004</v>
      </c>
      <c r="AI61" s="24">
        <f t="shared" ref="AI61:AI71" si="116">(AG61*0.01*-1)</f>
        <v>-260.05500000000001</v>
      </c>
      <c r="AJ61" s="45">
        <v>0.2</v>
      </c>
      <c r="AK61" s="24">
        <f>$AL$60</f>
        <v>158000</v>
      </c>
      <c r="AL61" s="24">
        <v>330000</v>
      </c>
      <c r="AM61" s="24">
        <f>(AL60-AK60)*AJ60+AM60</f>
        <v>23700</v>
      </c>
      <c r="AN61" s="24">
        <f t="shared" ref="AN61:AN71" si="117">(Z61+AH61+AI61-AO61)</f>
        <v>22104.674999999999</v>
      </c>
      <c r="AO61" s="24">
        <f>(0)</f>
        <v>0</v>
      </c>
      <c r="AP61" s="24">
        <f t="shared" ref="AP61:AP71" si="118">(AN61-AO61)</f>
        <v>22104.674999999999</v>
      </c>
      <c r="AQ61" s="24">
        <f>SUM(AP$60:$AP61)</f>
        <v>44209.35</v>
      </c>
      <c r="AR61" s="44">
        <f t="shared" si="107"/>
        <v>0.15</v>
      </c>
      <c r="AS61" s="34">
        <f t="shared" ref="AS61:AS71" si="119">IF(AR61-AR60=0,0,1)</f>
        <v>0</v>
      </c>
      <c r="AT61" s="46">
        <f t="shared" si="108"/>
        <v>0.15</v>
      </c>
      <c r="AU61" s="24">
        <f t="shared" ref="AU61:AU71" si="120">(ROUND(AP61*AT61,2))</f>
        <v>3315.7</v>
      </c>
      <c r="AV61" s="46">
        <f t="shared" ref="AV61:AV71" si="121">(100+(100*0.00759*-1)+(100*0.01*-1)+(100*0.01*-1)+(100+100*0.14*-1+100*0.01*-1)*AT61*-1)/100</f>
        <v>0.84491000000000005</v>
      </c>
      <c r="AW61" s="24">
        <f t="shared" si="109"/>
        <v>26005.5</v>
      </c>
      <c r="AX61" s="23">
        <v>59</v>
      </c>
      <c r="AY61" s="27">
        <v>29.5</v>
      </c>
      <c r="AZ61" s="43" t="s">
        <v>0</v>
      </c>
    </row>
    <row r="62" spans="26:52" ht="39.950000000000003" hidden="1" customHeight="1" x14ac:dyDescent="0.25">
      <c r="Z62" s="24">
        <f t="shared" si="105"/>
        <v>26005.5</v>
      </c>
      <c r="AA62" s="24">
        <f t="shared" si="110"/>
        <v>26005.5</v>
      </c>
      <c r="AB62" s="24">
        <f t="shared" si="106"/>
        <v>0</v>
      </c>
      <c r="AC62" s="24">
        <f t="shared" si="111"/>
        <v>0</v>
      </c>
      <c r="AD62" s="24">
        <f t="shared" si="112"/>
        <v>197.38174500000002</v>
      </c>
      <c r="AE62" s="24">
        <f t="shared" si="113"/>
        <v>26005.5</v>
      </c>
      <c r="AF62" s="24">
        <f>(0)</f>
        <v>0</v>
      </c>
      <c r="AG62" s="24">
        <f t="shared" si="114"/>
        <v>26005.5</v>
      </c>
      <c r="AH62" s="24">
        <f t="shared" si="115"/>
        <v>-3640.7700000000004</v>
      </c>
      <c r="AI62" s="24">
        <f t="shared" si="116"/>
        <v>-260.05500000000001</v>
      </c>
      <c r="AJ62" s="45">
        <v>0.27</v>
      </c>
      <c r="AK62" s="24">
        <f>$AL$61</f>
        <v>330000</v>
      </c>
      <c r="AL62" s="24">
        <v>1200000</v>
      </c>
      <c r="AM62" s="24">
        <f>(AL61-AK61)*AJ61+AM61</f>
        <v>58100</v>
      </c>
      <c r="AN62" s="24">
        <f t="shared" si="117"/>
        <v>22104.674999999999</v>
      </c>
      <c r="AO62" s="24">
        <f>(0)</f>
        <v>0</v>
      </c>
      <c r="AP62" s="24">
        <f t="shared" si="118"/>
        <v>22104.674999999999</v>
      </c>
      <c r="AQ62" s="24">
        <f>SUM(AP$60:$AP62)</f>
        <v>66314.024999999994</v>
      </c>
      <c r="AR62" s="44">
        <f t="shared" si="107"/>
        <v>0.15</v>
      </c>
      <c r="AS62" s="34">
        <f t="shared" si="119"/>
        <v>0</v>
      </c>
      <c r="AT62" s="46">
        <f t="shared" si="108"/>
        <v>0.15</v>
      </c>
      <c r="AU62" s="24">
        <f t="shared" si="120"/>
        <v>3315.7</v>
      </c>
      <c r="AV62" s="46">
        <f t="shared" si="121"/>
        <v>0.84491000000000005</v>
      </c>
      <c r="AW62" s="24">
        <f t="shared" si="109"/>
        <v>26005.5</v>
      </c>
      <c r="AX62" s="23">
        <v>60</v>
      </c>
      <c r="AY62" s="27">
        <v>30</v>
      </c>
      <c r="AZ62" s="43" t="s">
        <v>0</v>
      </c>
    </row>
    <row r="63" spans="26:52" ht="39.950000000000003" hidden="1" customHeight="1" x14ac:dyDescent="0.25">
      <c r="Z63" s="24">
        <f t="shared" si="105"/>
        <v>26005.5</v>
      </c>
      <c r="AA63" s="24">
        <f t="shared" si="110"/>
        <v>26005.5</v>
      </c>
      <c r="AB63" s="24">
        <f t="shared" si="106"/>
        <v>0</v>
      </c>
      <c r="AC63" s="24">
        <f t="shared" si="111"/>
        <v>0</v>
      </c>
      <c r="AD63" s="24">
        <f t="shared" si="112"/>
        <v>197.38174500000002</v>
      </c>
      <c r="AE63" s="24">
        <f t="shared" si="113"/>
        <v>26005.5</v>
      </c>
      <c r="AF63" s="24">
        <f>(0)</f>
        <v>0</v>
      </c>
      <c r="AG63" s="24">
        <f t="shared" si="114"/>
        <v>26005.5</v>
      </c>
      <c r="AH63" s="24">
        <f t="shared" si="115"/>
        <v>-3640.7700000000004</v>
      </c>
      <c r="AI63" s="24">
        <f t="shared" si="116"/>
        <v>-260.05500000000001</v>
      </c>
      <c r="AJ63" s="45">
        <v>0.35</v>
      </c>
      <c r="AK63" s="24">
        <f>$AL$62</f>
        <v>1200000</v>
      </c>
      <c r="AL63" s="24">
        <v>4300000</v>
      </c>
      <c r="AM63" s="24">
        <f>(AL62-AK62)*AJ62+AM62</f>
        <v>293000</v>
      </c>
      <c r="AN63" s="24">
        <f t="shared" si="117"/>
        <v>22104.674999999999</v>
      </c>
      <c r="AO63" s="24">
        <f>(0)</f>
        <v>0</v>
      </c>
      <c r="AP63" s="24">
        <f t="shared" si="118"/>
        <v>22104.674999999999</v>
      </c>
      <c r="AQ63" s="24">
        <f>SUM(AP$60:$AP63)</f>
        <v>88418.7</v>
      </c>
      <c r="AR63" s="44">
        <f t="shared" si="107"/>
        <v>0.15</v>
      </c>
      <c r="AS63" s="34">
        <f t="shared" si="119"/>
        <v>0</v>
      </c>
      <c r="AT63" s="46">
        <f t="shared" si="108"/>
        <v>0.15</v>
      </c>
      <c r="AU63" s="24">
        <f t="shared" si="120"/>
        <v>3315.7</v>
      </c>
      <c r="AV63" s="46">
        <f t="shared" si="121"/>
        <v>0.84491000000000005</v>
      </c>
      <c r="AW63" s="24">
        <f t="shared" si="109"/>
        <v>26005.5</v>
      </c>
      <c r="AX63" s="23">
        <v>61</v>
      </c>
      <c r="AY63" s="27">
        <v>30.5</v>
      </c>
      <c r="AZ63" s="43" t="s">
        <v>0</v>
      </c>
    </row>
    <row r="64" spans="26:52" ht="39.950000000000003" hidden="1" customHeight="1" x14ac:dyDescent="0.25">
      <c r="Z64" s="24">
        <f t="shared" si="105"/>
        <v>26005.5</v>
      </c>
      <c r="AA64" s="24">
        <f t="shared" si="110"/>
        <v>26005.5</v>
      </c>
      <c r="AB64" s="24">
        <f t="shared" si="106"/>
        <v>0</v>
      </c>
      <c r="AC64" s="24">
        <f t="shared" si="111"/>
        <v>0</v>
      </c>
      <c r="AD64" s="24">
        <f t="shared" si="112"/>
        <v>197.38174500000002</v>
      </c>
      <c r="AE64" s="24">
        <f t="shared" si="113"/>
        <v>26005.5</v>
      </c>
      <c r="AF64" s="24">
        <f>(0)</f>
        <v>0</v>
      </c>
      <c r="AG64" s="24">
        <f t="shared" si="114"/>
        <v>26005.5</v>
      </c>
      <c r="AH64" s="24">
        <f t="shared" si="115"/>
        <v>-3640.7700000000004</v>
      </c>
      <c r="AI64" s="24">
        <f t="shared" si="116"/>
        <v>-260.05500000000001</v>
      </c>
      <c r="AJ64" s="45">
        <v>0.4</v>
      </c>
      <c r="AK64" s="47">
        <f>$AL$63</f>
        <v>4300000</v>
      </c>
      <c r="AL64" s="24">
        <v>999999999</v>
      </c>
      <c r="AM64" s="24">
        <f>(AL63-AK63)*AJ63+AM63</f>
        <v>1378000</v>
      </c>
      <c r="AN64" s="24">
        <f t="shared" si="117"/>
        <v>22104.674999999999</v>
      </c>
      <c r="AO64" s="24">
        <f>(0)</f>
        <v>0</v>
      </c>
      <c r="AP64" s="24">
        <f t="shared" si="118"/>
        <v>22104.674999999999</v>
      </c>
      <c r="AQ64" s="24">
        <f>SUM(AP$60:$AP64)</f>
        <v>110523.375</v>
      </c>
      <c r="AR64" s="44">
        <f t="shared" si="107"/>
        <v>0.15</v>
      </c>
      <c r="AS64" s="34">
        <f t="shared" si="119"/>
        <v>0</v>
      </c>
      <c r="AT64" s="46">
        <f t="shared" si="108"/>
        <v>0.15</v>
      </c>
      <c r="AU64" s="24">
        <f t="shared" si="120"/>
        <v>3315.7</v>
      </c>
      <c r="AV64" s="46">
        <f t="shared" si="121"/>
        <v>0.84491000000000005</v>
      </c>
      <c r="AW64" s="24">
        <f t="shared" si="109"/>
        <v>26005.5</v>
      </c>
      <c r="AX64" s="23">
        <v>62</v>
      </c>
      <c r="AY64" s="27">
        <v>31</v>
      </c>
      <c r="AZ64" s="43" t="s">
        <v>0</v>
      </c>
    </row>
    <row r="65" spans="26:52" ht="39.950000000000003" hidden="1" customHeight="1" x14ac:dyDescent="0.25">
      <c r="Z65" s="24">
        <f t="shared" si="105"/>
        <v>26005.5</v>
      </c>
      <c r="AA65" s="24">
        <f t="shared" si="110"/>
        <v>26005.5</v>
      </c>
      <c r="AB65" s="24">
        <f t="shared" si="106"/>
        <v>0</v>
      </c>
      <c r="AC65" s="24">
        <f t="shared" si="111"/>
        <v>0</v>
      </c>
      <c r="AD65" s="24">
        <f t="shared" si="112"/>
        <v>197.38174500000002</v>
      </c>
      <c r="AE65" s="24">
        <f t="shared" si="113"/>
        <v>26005.5</v>
      </c>
      <c r="AF65" s="24">
        <f>(0)</f>
        <v>0</v>
      </c>
      <c r="AG65" s="24">
        <f t="shared" si="114"/>
        <v>26005.5</v>
      </c>
      <c r="AH65" s="24">
        <f t="shared" si="115"/>
        <v>-3640.7700000000004</v>
      </c>
      <c r="AI65" s="24">
        <f t="shared" si="116"/>
        <v>-260.05500000000001</v>
      </c>
      <c r="AJ65" s="24" t="s">
        <v>0</v>
      </c>
      <c r="AK65" s="24" t="s">
        <v>0</v>
      </c>
      <c r="AL65" s="24" t="s">
        <v>0</v>
      </c>
      <c r="AM65" s="24" t="s">
        <v>0</v>
      </c>
      <c r="AN65" s="24">
        <f t="shared" si="117"/>
        <v>22104.674999999999</v>
      </c>
      <c r="AO65" s="24">
        <f>(0)</f>
        <v>0</v>
      </c>
      <c r="AP65" s="24">
        <f t="shared" si="118"/>
        <v>22104.674999999999</v>
      </c>
      <c r="AQ65" s="24">
        <f>SUM(AP$60:$AP65)</f>
        <v>132628.04999999999</v>
      </c>
      <c r="AR65" s="44">
        <f t="shared" si="107"/>
        <v>0.15</v>
      </c>
      <c r="AS65" s="34">
        <f t="shared" si="119"/>
        <v>0</v>
      </c>
      <c r="AT65" s="46">
        <f t="shared" si="108"/>
        <v>0.15</v>
      </c>
      <c r="AU65" s="24">
        <f t="shared" si="120"/>
        <v>3315.7</v>
      </c>
      <c r="AV65" s="46">
        <f t="shared" si="121"/>
        <v>0.84491000000000005</v>
      </c>
      <c r="AW65" s="24">
        <f t="shared" si="109"/>
        <v>26005.5</v>
      </c>
      <c r="AX65" s="23">
        <v>63</v>
      </c>
      <c r="AY65" s="27">
        <v>31.5</v>
      </c>
      <c r="AZ65" s="43" t="s">
        <v>0</v>
      </c>
    </row>
    <row r="66" spans="26:52" ht="39.950000000000003" hidden="1" customHeight="1" x14ac:dyDescent="0.25">
      <c r="Z66" s="24">
        <f t="shared" ref="Z66:Z71" si="122">($AD$11)</f>
        <v>26005.5</v>
      </c>
      <c r="AA66" s="24">
        <f t="shared" si="110"/>
        <v>26005.5</v>
      </c>
      <c r="AB66" s="24">
        <f t="shared" si="106"/>
        <v>0</v>
      </c>
      <c r="AC66" s="24">
        <f t="shared" si="111"/>
        <v>0</v>
      </c>
      <c r="AD66" s="24">
        <f t="shared" si="112"/>
        <v>197.38174500000002</v>
      </c>
      <c r="AE66" s="24">
        <f t="shared" si="113"/>
        <v>26005.5</v>
      </c>
      <c r="AF66" s="24">
        <f>(0)</f>
        <v>0</v>
      </c>
      <c r="AG66" s="24">
        <f t="shared" si="114"/>
        <v>26005.5</v>
      </c>
      <c r="AH66" s="24">
        <f t="shared" si="115"/>
        <v>-3640.7700000000004</v>
      </c>
      <c r="AI66" s="24">
        <f t="shared" si="116"/>
        <v>-260.05500000000001</v>
      </c>
      <c r="AJ66" s="24" t="s">
        <v>0</v>
      </c>
      <c r="AK66" s="24" t="s">
        <v>0</v>
      </c>
      <c r="AL66" s="24" t="s">
        <v>0</v>
      </c>
      <c r="AM66" s="24" t="s">
        <v>0</v>
      </c>
      <c r="AN66" s="24">
        <f t="shared" si="117"/>
        <v>22104.674999999999</v>
      </c>
      <c r="AO66" s="24">
        <f>(0)</f>
        <v>0</v>
      </c>
      <c r="AP66" s="24">
        <f t="shared" si="118"/>
        <v>22104.674999999999</v>
      </c>
      <c r="AQ66" s="24">
        <f>SUM(AP$60:$AP66)</f>
        <v>154732.72499999998</v>
      </c>
      <c r="AR66" s="44">
        <f t="shared" si="107"/>
        <v>0.15</v>
      </c>
      <c r="AS66" s="34">
        <f t="shared" si="119"/>
        <v>0</v>
      </c>
      <c r="AT66" s="46">
        <f t="shared" si="108"/>
        <v>0.15</v>
      </c>
      <c r="AU66" s="24">
        <f t="shared" si="120"/>
        <v>3315.7</v>
      </c>
      <c r="AV66" s="46">
        <f t="shared" si="121"/>
        <v>0.84491000000000005</v>
      </c>
      <c r="AW66" s="24">
        <f t="shared" si="109"/>
        <v>26005.5</v>
      </c>
      <c r="AX66" s="23">
        <v>64</v>
      </c>
      <c r="AY66" s="27">
        <v>32</v>
      </c>
      <c r="AZ66" s="43" t="s">
        <v>0</v>
      </c>
    </row>
    <row r="67" spans="26:52" ht="39.950000000000003" hidden="1" customHeight="1" x14ac:dyDescent="0.25">
      <c r="Z67" s="24">
        <f t="shared" si="122"/>
        <v>26005.5</v>
      </c>
      <c r="AA67" s="24">
        <f t="shared" si="110"/>
        <v>26005.5</v>
      </c>
      <c r="AB67" s="24">
        <f t="shared" si="106"/>
        <v>0</v>
      </c>
      <c r="AC67" s="24">
        <f t="shared" si="111"/>
        <v>0</v>
      </c>
      <c r="AD67" s="24">
        <f t="shared" si="112"/>
        <v>197.38174500000002</v>
      </c>
      <c r="AE67" s="24">
        <f t="shared" si="113"/>
        <v>26005.5</v>
      </c>
      <c r="AF67" s="24">
        <f>(0)</f>
        <v>0</v>
      </c>
      <c r="AG67" s="24">
        <f t="shared" si="114"/>
        <v>26005.5</v>
      </c>
      <c r="AH67" s="24">
        <f t="shared" si="115"/>
        <v>-3640.7700000000004</v>
      </c>
      <c r="AI67" s="24">
        <f t="shared" si="116"/>
        <v>-260.05500000000001</v>
      </c>
      <c r="AJ67" s="24" t="s">
        <v>0</v>
      </c>
      <c r="AK67" s="24" t="s">
        <v>0</v>
      </c>
      <c r="AL67" s="24" t="s">
        <v>0</v>
      </c>
      <c r="AM67" s="24" t="s">
        <v>0</v>
      </c>
      <c r="AN67" s="24">
        <f t="shared" si="117"/>
        <v>22104.674999999999</v>
      </c>
      <c r="AO67" s="24">
        <f>(0)</f>
        <v>0</v>
      </c>
      <c r="AP67" s="24">
        <f t="shared" si="118"/>
        <v>22104.674999999999</v>
      </c>
      <c r="AQ67" s="24">
        <f>SUM(AP$60:$AP67)</f>
        <v>176837.39999999997</v>
      </c>
      <c r="AR67" s="44">
        <f t="shared" si="107"/>
        <v>0.2</v>
      </c>
      <c r="AS67" s="34">
        <f t="shared" si="119"/>
        <v>1</v>
      </c>
      <c r="AT67" s="46">
        <f t="shared" si="108"/>
        <v>0.19260953847998205</v>
      </c>
      <c r="AU67" s="24">
        <f t="shared" si="120"/>
        <v>4257.57</v>
      </c>
      <c r="AV67" s="46">
        <f t="shared" si="121"/>
        <v>0.80869189229201521</v>
      </c>
      <c r="AW67" s="24">
        <f t="shared" si="109"/>
        <v>26005.5</v>
      </c>
      <c r="AX67" s="23">
        <v>65</v>
      </c>
      <c r="AY67" s="27">
        <v>32.5</v>
      </c>
      <c r="AZ67" s="43" t="s">
        <v>0</v>
      </c>
    </row>
    <row r="68" spans="26:52" ht="39.950000000000003" hidden="1" customHeight="1" x14ac:dyDescent="0.25">
      <c r="Z68" s="24">
        <f t="shared" si="122"/>
        <v>26005.5</v>
      </c>
      <c r="AA68" s="24">
        <f t="shared" si="110"/>
        <v>26005.5</v>
      </c>
      <c r="AB68" s="24">
        <f t="shared" si="106"/>
        <v>0</v>
      </c>
      <c r="AC68" s="24">
        <f t="shared" si="111"/>
        <v>0</v>
      </c>
      <c r="AD68" s="24">
        <f t="shared" si="112"/>
        <v>197.38174500000002</v>
      </c>
      <c r="AE68" s="24">
        <f t="shared" si="113"/>
        <v>26005.5</v>
      </c>
      <c r="AF68" s="24">
        <f>(0)</f>
        <v>0</v>
      </c>
      <c r="AG68" s="24">
        <f t="shared" si="114"/>
        <v>26005.5</v>
      </c>
      <c r="AH68" s="24">
        <f t="shared" si="115"/>
        <v>-3640.7700000000004</v>
      </c>
      <c r="AI68" s="24">
        <f t="shared" si="116"/>
        <v>-260.05500000000001</v>
      </c>
      <c r="AJ68" s="24" t="s">
        <v>0</v>
      </c>
      <c r="AK68" s="24" t="s">
        <v>0</v>
      </c>
      <c r="AL68" s="24" t="s">
        <v>0</v>
      </c>
      <c r="AM68" s="24" t="s">
        <v>0</v>
      </c>
      <c r="AN68" s="24">
        <f t="shared" si="117"/>
        <v>22104.674999999999</v>
      </c>
      <c r="AO68" s="24">
        <f>(0)</f>
        <v>0</v>
      </c>
      <c r="AP68" s="24">
        <f t="shared" si="118"/>
        <v>22104.674999999999</v>
      </c>
      <c r="AQ68" s="24">
        <f>SUM(AP$60:$AP68)</f>
        <v>198942.07499999995</v>
      </c>
      <c r="AR68" s="44">
        <f t="shared" si="107"/>
        <v>0.2</v>
      </c>
      <c r="AS68" s="34">
        <f t="shared" si="119"/>
        <v>0</v>
      </c>
      <c r="AT68" s="46">
        <f t="shared" si="108"/>
        <v>0.2</v>
      </c>
      <c r="AU68" s="24">
        <f t="shared" si="120"/>
        <v>4420.9399999999996</v>
      </c>
      <c r="AV68" s="46">
        <f t="shared" si="121"/>
        <v>0.80240999999999996</v>
      </c>
      <c r="AW68" s="24">
        <f t="shared" si="109"/>
        <v>26005.5</v>
      </c>
      <c r="AX68" s="23">
        <v>66</v>
      </c>
      <c r="AY68" s="27">
        <v>33</v>
      </c>
      <c r="AZ68" s="43" t="s">
        <v>0</v>
      </c>
    </row>
    <row r="69" spans="26:52" ht="39.950000000000003" hidden="1" customHeight="1" x14ac:dyDescent="0.25">
      <c r="Z69" s="24">
        <f t="shared" si="122"/>
        <v>26005.5</v>
      </c>
      <c r="AA69" s="24">
        <f t="shared" si="110"/>
        <v>26005.5</v>
      </c>
      <c r="AB69" s="24">
        <f t="shared" si="106"/>
        <v>0</v>
      </c>
      <c r="AC69" s="24">
        <f t="shared" si="111"/>
        <v>0</v>
      </c>
      <c r="AD69" s="24">
        <f t="shared" si="112"/>
        <v>197.38174500000002</v>
      </c>
      <c r="AE69" s="24">
        <f t="shared" si="113"/>
        <v>26005.5</v>
      </c>
      <c r="AF69" s="24">
        <f>(0)</f>
        <v>0</v>
      </c>
      <c r="AG69" s="24">
        <f t="shared" si="114"/>
        <v>26005.5</v>
      </c>
      <c r="AH69" s="24">
        <f t="shared" si="115"/>
        <v>-3640.7700000000004</v>
      </c>
      <c r="AI69" s="24">
        <f t="shared" si="116"/>
        <v>-260.05500000000001</v>
      </c>
      <c r="AJ69" s="24" t="s">
        <v>0</v>
      </c>
      <c r="AK69" s="24" t="s">
        <v>0</v>
      </c>
      <c r="AL69" s="24" t="s">
        <v>0</v>
      </c>
      <c r="AM69" s="24" t="s">
        <v>0</v>
      </c>
      <c r="AN69" s="24">
        <f t="shared" si="117"/>
        <v>22104.674999999999</v>
      </c>
      <c r="AO69" s="24">
        <f>(0)</f>
        <v>0</v>
      </c>
      <c r="AP69" s="24">
        <f t="shared" si="118"/>
        <v>22104.674999999999</v>
      </c>
      <c r="AQ69" s="24">
        <f>SUM(AP$60:$AP69)</f>
        <v>221046.74999999994</v>
      </c>
      <c r="AR69" s="44">
        <f t="shared" si="107"/>
        <v>0.2</v>
      </c>
      <c r="AS69" s="34">
        <f t="shared" si="119"/>
        <v>0</v>
      </c>
      <c r="AT69" s="46">
        <f t="shared" si="108"/>
        <v>0.2</v>
      </c>
      <c r="AU69" s="24">
        <f t="shared" si="120"/>
        <v>4420.9399999999996</v>
      </c>
      <c r="AV69" s="46">
        <f t="shared" si="121"/>
        <v>0.80240999999999996</v>
      </c>
      <c r="AW69" s="24">
        <f t="shared" si="109"/>
        <v>26005.5</v>
      </c>
      <c r="AX69" s="23">
        <v>67</v>
      </c>
      <c r="AY69" s="27">
        <v>33.5</v>
      </c>
      <c r="AZ69" s="43" t="s">
        <v>0</v>
      </c>
    </row>
    <row r="70" spans="26:52" ht="39.950000000000003" hidden="1" customHeight="1" x14ac:dyDescent="0.25">
      <c r="Z70" s="24">
        <f t="shared" si="122"/>
        <v>26005.5</v>
      </c>
      <c r="AA70" s="24">
        <f t="shared" si="110"/>
        <v>26005.5</v>
      </c>
      <c r="AB70" s="24">
        <f t="shared" si="106"/>
        <v>0</v>
      </c>
      <c r="AC70" s="24">
        <f t="shared" si="111"/>
        <v>0</v>
      </c>
      <c r="AD70" s="24">
        <f t="shared" si="112"/>
        <v>197.38174500000002</v>
      </c>
      <c r="AE70" s="24">
        <f t="shared" si="113"/>
        <v>26005.5</v>
      </c>
      <c r="AF70" s="24">
        <f>(0)</f>
        <v>0</v>
      </c>
      <c r="AG70" s="24">
        <f t="shared" si="114"/>
        <v>26005.5</v>
      </c>
      <c r="AH70" s="24">
        <f t="shared" si="115"/>
        <v>-3640.7700000000004</v>
      </c>
      <c r="AI70" s="24">
        <f t="shared" si="116"/>
        <v>-260.05500000000001</v>
      </c>
      <c r="AJ70" s="24" t="s">
        <v>0</v>
      </c>
      <c r="AK70" s="24" t="s">
        <v>0</v>
      </c>
      <c r="AL70" s="24" t="s">
        <v>0</v>
      </c>
      <c r="AM70" s="24" t="s">
        <v>0</v>
      </c>
      <c r="AN70" s="24">
        <f t="shared" si="117"/>
        <v>22104.674999999999</v>
      </c>
      <c r="AO70" s="24">
        <f>(0)</f>
        <v>0</v>
      </c>
      <c r="AP70" s="24">
        <f t="shared" si="118"/>
        <v>22104.674999999999</v>
      </c>
      <c r="AQ70" s="24">
        <f>SUM(AP$60:$AP70)</f>
        <v>243151.42499999993</v>
      </c>
      <c r="AR70" s="44">
        <f t="shared" si="107"/>
        <v>0.2</v>
      </c>
      <c r="AS70" s="34">
        <f t="shared" si="119"/>
        <v>0</v>
      </c>
      <c r="AT70" s="46">
        <f t="shared" si="108"/>
        <v>0.2</v>
      </c>
      <c r="AU70" s="24">
        <f t="shared" si="120"/>
        <v>4420.9399999999996</v>
      </c>
      <c r="AV70" s="46">
        <f t="shared" si="121"/>
        <v>0.80240999999999996</v>
      </c>
      <c r="AW70" s="24">
        <f t="shared" si="109"/>
        <v>26005.5</v>
      </c>
      <c r="AX70" s="23">
        <v>68</v>
      </c>
      <c r="AY70" s="27">
        <v>34</v>
      </c>
      <c r="AZ70" s="43" t="s">
        <v>0</v>
      </c>
    </row>
    <row r="71" spans="26:52" ht="39.950000000000003" hidden="1" customHeight="1" x14ac:dyDescent="0.25">
      <c r="Z71" s="24">
        <f t="shared" si="122"/>
        <v>26005.5</v>
      </c>
      <c r="AA71" s="24">
        <f t="shared" si="110"/>
        <v>26005.5</v>
      </c>
      <c r="AB71" s="24">
        <f t="shared" si="106"/>
        <v>0</v>
      </c>
      <c r="AC71" s="24">
        <f t="shared" si="111"/>
        <v>0</v>
      </c>
      <c r="AD71" s="24">
        <f t="shared" si="112"/>
        <v>197.38174500000002</v>
      </c>
      <c r="AE71" s="24">
        <f t="shared" si="113"/>
        <v>26005.5</v>
      </c>
      <c r="AF71" s="24">
        <f>(0)</f>
        <v>0</v>
      </c>
      <c r="AG71" s="24">
        <f t="shared" si="114"/>
        <v>26005.5</v>
      </c>
      <c r="AH71" s="24">
        <f t="shared" si="115"/>
        <v>-3640.7700000000004</v>
      </c>
      <c r="AI71" s="24">
        <f t="shared" si="116"/>
        <v>-260.05500000000001</v>
      </c>
      <c r="AJ71" s="24" t="s">
        <v>0</v>
      </c>
      <c r="AK71" s="24" t="s">
        <v>0</v>
      </c>
      <c r="AL71" s="24" t="s">
        <v>0</v>
      </c>
      <c r="AM71" s="24" t="s">
        <v>0</v>
      </c>
      <c r="AN71" s="24">
        <f t="shared" si="117"/>
        <v>22104.674999999999</v>
      </c>
      <c r="AO71" s="24">
        <f>(0)</f>
        <v>0</v>
      </c>
      <c r="AP71" s="24">
        <f t="shared" si="118"/>
        <v>22104.674999999999</v>
      </c>
      <c r="AQ71" s="24">
        <f>SUM(AP$60:$AP71)</f>
        <v>265256.09999999992</v>
      </c>
      <c r="AR71" s="44">
        <f t="shared" si="107"/>
        <v>0.2</v>
      </c>
      <c r="AS71" s="34">
        <f t="shared" si="119"/>
        <v>0</v>
      </c>
      <c r="AT71" s="46">
        <f t="shared" si="108"/>
        <v>0.2</v>
      </c>
      <c r="AU71" s="24">
        <f t="shared" si="120"/>
        <v>4420.9399999999996</v>
      </c>
      <c r="AV71" s="46">
        <f t="shared" si="121"/>
        <v>0.80240999999999996</v>
      </c>
      <c r="AW71" s="24">
        <f t="shared" si="109"/>
        <v>26005.5</v>
      </c>
      <c r="AX71" s="23">
        <v>69</v>
      </c>
      <c r="AY71" s="27">
        <v>34.5</v>
      </c>
      <c r="AZ71" s="43" t="s">
        <v>0</v>
      </c>
    </row>
    <row r="72" spans="26:52" ht="39.950000000000003" hidden="1" customHeight="1" x14ac:dyDescent="0.25">
      <c r="Z72" s="24">
        <f t="shared" ref="Z72:AI72" si="123">(Z60+Z61+Z62+Z63+Z64+Z65+Z66+Z67+Z68+Z69+Z70+Z71)</f>
        <v>312066</v>
      </c>
      <c r="AA72" s="24">
        <f t="shared" si="123"/>
        <v>312066</v>
      </c>
      <c r="AB72" s="24">
        <f t="shared" si="123"/>
        <v>0</v>
      </c>
      <c r="AC72" s="24">
        <f t="shared" si="123"/>
        <v>0</v>
      </c>
      <c r="AD72" s="24">
        <f t="shared" si="123"/>
        <v>2368.5809400000007</v>
      </c>
      <c r="AE72" s="24">
        <f t="shared" si="123"/>
        <v>312066</v>
      </c>
      <c r="AF72" s="24">
        <f t="shared" si="123"/>
        <v>0</v>
      </c>
      <c r="AG72" s="24">
        <f t="shared" si="123"/>
        <v>312066</v>
      </c>
      <c r="AH72" s="24">
        <f t="shared" si="123"/>
        <v>-43689.240000000005</v>
      </c>
      <c r="AI72" s="24">
        <f t="shared" si="123"/>
        <v>-3120.6599999999994</v>
      </c>
      <c r="AJ72" s="39" t="s">
        <v>0</v>
      </c>
      <c r="AK72" s="39" t="s">
        <v>0</v>
      </c>
      <c r="AL72" s="39" t="s">
        <v>0</v>
      </c>
      <c r="AM72" s="39" t="s">
        <v>0</v>
      </c>
      <c r="AN72" s="24">
        <f t="shared" ref="AN72:AP72" si="124">(AN60+AN61+AN62+AN63+AN64+AN65+AN66+AN67+AN68+AN69+AN70+AN71)</f>
        <v>265256.09999999992</v>
      </c>
      <c r="AO72" s="24">
        <f t="shared" si="124"/>
        <v>0</v>
      </c>
      <c r="AP72" s="24">
        <f t="shared" si="124"/>
        <v>265256.09999999992</v>
      </c>
      <c r="AQ72" s="39" t="s">
        <v>0</v>
      </c>
      <c r="AR72" s="23" t="s">
        <v>0</v>
      </c>
      <c r="AS72" s="23" t="s">
        <v>0</v>
      </c>
      <c r="AT72" s="23" t="s">
        <v>0</v>
      </c>
      <c r="AU72" s="24">
        <f t="shared" ref="AU72" si="125">(AU60+AU61+AU62+AU63+AU64+AU65+AU66+AU67+AU68+AU69+AU70+AU71)</f>
        <v>45151.23</v>
      </c>
      <c r="AV72" s="23" t="s">
        <v>0</v>
      </c>
      <c r="AW72" s="24">
        <f t="shared" ref="AW72" si="126">(AW60+AW61+AW62+AW63+AW64+AW65+AW66+AW67+AW68+AW69+AW70+AW71)</f>
        <v>312066</v>
      </c>
      <c r="AX72" s="23">
        <v>70</v>
      </c>
      <c r="AY72" s="27">
        <v>35</v>
      </c>
      <c r="AZ72" s="43" t="s">
        <v>0</v>
      </c>
    </row>
    <row r="73" spans="26:52" ht="39.950000000000003" hidden="1" customHeight="1" x14ac:dyDescent="0.25">
      <c r="Z73" s="24">
        <f t="shared" ref="Z73:AI73" si="127">(Z72/12)</f>
        <v>26005.5</v>
      </c>
      <c r="AA73" s="24">
        <f t="shared" si="127"/>
        <v>26005.5</v>
      </c>
      <c r="AB73" s="24">
        <f t="shared" si="127"/>
        <v>0</v>
      </c>
      <c r="AC73" s="24">
        <f t="shared" si="127"/>
        <v>0</v>
      </c>
      <c r="AD73" s="24">
        <f t="shared" si="127"/>
        <v>197.38174500000005</v>
      </c>
      <c r="AE73" s="24">
        <f t="shared" si="127"/>
        <v>26005.5</v>
      </c>
      <c r="AF73" s="24">
        <f t="shared" si="127"/>
        <v>0</v>
      </c>
      <c r="AG73" s="24">
        <f t="shared" si="127"/>
        <v>26005.5</v>
      </c>
      <c r="AH73" s="24">
        <f t="shared" si="127"/>
        <v>-3640.7700000000004</v>
      </c>
      <c r="AI73" s="24">
        <f t="shared" si="127"/>
        <v>-260.05499999999995</v>
      </c>
      <c r="AJ73" s="39" t="s">
        <v>0</v>
      </c>
      <c r="AK73" s="39" t="s">
        <v>0</v>
      </c>
      <c r="AL73" s="39" t="s">
        <v>0</v>
      </c>
      <c r="AM73" s="39" t="s">
        <v>0</v>
      </c>
      <c r="AN73" s="24">
        <f t="shared" ref="AN73:AP73" si="128">(AN72/12)</f>
        <v>22104.674999999992</v>
      </c>
      <c r="AO73" s="24">
        <f t="shared" si="128"/>
        <v>0</v>
      </c>
      <c r="AP73" s="24">
        <f t="shared" si="128"/>
        <v>22104.674999999992</v>
      </c>
      <c r="AQ73" s="39" t="s">
        <v>0</v>
      </c>
      <c r="AR73" s="39" t="s">
        <v>0</v>
      </c>
      <c r="AS73" s="39" t="s">
        <v>0</v>
      </c>
      <c r="AT73" s="39" t="s">
        <v>0</v>
      </c>
      <c r="AU73" s="24">
        <f t="shared" ref="AU73" si="129">(AU72/12)</f>
        <v>3762.6025000000004</v>
      </c>
      <c r="AV73" s="39" t="s">
        <v>0</v>
      </c>
      <c r="AW73" s="24">
        <f t="shared" ref="AW73" si="130">(AW72/12)</f>
        <v>26005.5</v>
      </c>
      <c r="AX73" s="23">
        <v>71</v>
      </c>
      <c r="AY73" s="27">
        <v>35.5</v>
      </c>
      <c r="AZ73" s="43" t="s">
        <v>0</v>
      </c>
    </row>
    <row r="74" spans="26:52" ht="39.950000000000003" hidden="1" customHeight="1" x14ac:dyDescent="0.25">
      <c r="AK74" s="24">
        <f>(0)</f>
        <v>0</v>
      </c>
      <c r="AL74" s="44">
        <f>(0%)</f>
        <v>0</v>
      </c>
      <c r="AX74" s="23">
        <v>72</v>
      </c>
      <c r="AY74" s="27">
        <v>36</v>
      </c>
      <c r="AZ74" s="43" t="s">
        <v>0</v>
      </c>
    </row>
    <row r="75" spans="26:52" ht="39.950000000000003" hidden="1" customHeight="1" x14ac:dyDescent="0.25">
      <c r="Z75" s="24">
        <f t="shared" ref="Z75:Z86" ca="1" si="131">(AL1+AA60)</f>
        <v>32315.85</v>
      </c>
      <c r="AA75" s="24">
        <f t="shared" ref="AA75:AA86" ca="1" si="132">(AR30-Z75)</f>
        <v>62097.43733379036</v>
      </c>
      <c r="AB75" s="24">
        <f ca="1">(AA75*0.00759*-1)</f>
        <v>-471.31954936346887</v>
      </c>
      <c r="AC75" s="24">
        <f t="shared" ref="AC75:AC86" ca="1" si="133">(AR30)</f>
        <v>94413.287333790358</v>
      </c>
      <c r="AD75" s="24">
        <f t="shared" ref="AD75:AD86" ca="1" si="134">(AP1+AL43)</f>
        <v>4108</v>
      </c>
      <c r="AE75" s="24">
        <f t="shared" ref="AE75:AE86" ca="1" si="135">IF(AC75-AD75&gt;=Z60*7.5,Z60*7.5,AC75-AD75)</f>
        <v>90305.287333790358</v>
      </c>
      <c r="AF75" s="24">
        <f ca="1">(AE75*0.14*-1)</f>
        <v>-12642.740226730652</v>
      </c>
      <c r="AG75" s="24">
        <f ca="1">(AE75*0.01*-1)</f>
        <v>-903.05287333790363</v>
      </c>
      <c r="AH75" s="24">
        <f t="shared" ref="AH75:AH86" ca="1" si="136">(AR30+AF75+AG75)</f>
        <v>80867.494233721809</v>
      </c>
      <c r="AI75" s="24">
        <f t="shared" ref="AI75:AI86" ca="1" si="137">(AH29+AL43+AP43+AR1)</f>
        <v>7611.8157357759292</v>
      </c>
      <c r="AJ75" s="24">
        <f ca="1">(AH75-AI75)</f>
        <v>73255.678497945875</v>
      </c>
      <c r="AK75" s="24">
        <f ca="1">SUM($AJ$75:AJ75)</f>
        <v>73255.678497945875</v>
      </c>
      <c r="AL75" s="44">
        <f t="shared" ref="AL75:AL86" ca="1" si="138">IF(AK75&lt;=$AL$60,$AJ$60,
IF(AK75&gt;$AL$62,
IF(AK75&gt;$AL$63,$AJ$64,$AJ$63),
IF(AK75&lt;$AL$61,$AJ$61,$AJ$62)))</f>
        <v>0.15</v>
      </c>
      <c r="AM75" s="34">
        <f ca="1">IF(AL75-AL74=0,0,1)</f>
        <v>1</v>
      </c>
      <c r="AN75" s="46">
        <f>(0)</f>
        <v>0</v>
      </c>
      <c r="AO75" s="24">
        <f>(0)</f>
        <v>0</v>
      </c>
      <c r="AP75" s="24">
        <f>(0)</f>
        <v>0</v>
      </c>
      <c r="AQ75" s="46">
        <f t="shared" ref="AQ75:AQ86" si="139">(100+(100*0.00759*-1)+(100)*AN75*-1)/100</f>
        <v>0.99241000000000001</v>
      </c>
      <c r="AR75" s="46">
        <f>(100+(100*0.00759*-1)+(100*0.14*-1)+(100*0.01*-1))/100</f>
        <v>0.84240999999999999</v>
      </c>
      <c r="AS75" s="46">
        <f t="shared" ref="AS75:AS86" si="140">(100+(100*0.00759*-1)+(100*0.14*-1)+(100*0.01*-1)+(100+100*0.14*-1+100*0.01*-1)*AN75*-1)/100</f>
        <v>0.84240999999999999</v>
      </c>
      <c r="AX75" s="23">
        <v>73</v>
      </c>
      <c r="AY75" s="27">
        <v>36.5</v>
      </c>
      <c r="AZ75" s="43" t="s">
        <v>0</v>
      </c>
    </row>
    <row r="76" spans="26:52" ht="39.950000000000003" hidden="1" customHeight="1" x14ac:dyDescent="0.25">
      <c r="Z76" s="24">
        <f t="shared" ca="1" si="131"/>
        <v>32315.85</v>
      </c>
      <c r="AA76" s="24">
        <f t="shared" ca="1" si="132"/>
        <v>57028.013498207532</v>
      </c>
      <c r="AB76" s="24">
        <f t="shared" ref="AB76:AB86" ca="1" si="141">(AA76*0.00759*-1)</f>
        <v>-432.84262245139519</v>
      </c>
      <c r="AC76" s="24">
        <f t="shared" ca="1" si="133"/>
        <v>89343.863498207531</v>
      </c>
      <c r="AD76" s="24">
        <f t="shared" ca="1" si="134"/>
        <v>4108</v>
      </c>
      <c r="AE76" s="24">
        <f t="shared" ca="1" si="135"/>
        <v>85235.863498207531</v>
      </c>
      <c r="AF76" s="24">
        <f t="shared" ref="AF76:AF86" ca="1" si="142">(AE76*0.14*-1)</f>
        <v>-11933.020889749056</v>
      </c>
      <c r="AG76" s="24">
        <f t="shared" ref="AG76:AG86" ca="1" si="143">(AE76*0.01*-1)</f>
        <v>-852.35863498207527</v>
      </c>
      <c r="AH76" s="24">
        <f t="shared" ca="1" si="136"/>
        <v>76558.48397347641</v>
      </c>
      <c r="AI76" s="24">
        <f t="shared" ca="1" si="137"/>
        <v>7611.8157357759292</v>
      </c>
      <c r="AJ76" s="24">
        <f t="shared" ref="AJ76:AJ86" ca="1" si="144">(AH76-AI76)</f>
        <v>68946.668237700476</v>
      </c>
      <c r="AK76" s="24">
        <f ca="1">SUM($AJ$75:AJ76)</f>
        <v>142202.34673564637</v>
      </c>
      <c r="AL76" s="44">
        <f t="shared" ca="1" si="138"/>
        <v>0.15</v>
      </c>
      <c r="AM76" s="34">
        <f t="shared" ref="AM76:AM86" ca="1" si="145">IF(AL76-AL75=0,0,1)</f>
        <v>0</v>
      </c>
      <c r="AN76" s="46">
        <f>(0)</f>
        <v>0</v>
      </c>
      <c r="AO76" s="24">
        <f>(0)</f>
        <v>0</v>
      </c>
      <c r="AP76" s="24">
        <f>(0)</f>
        <v>0</v>
      </c>
      <c r="AQ76" s="46">
        <f t="shared" si="139"/>
        <v>0.99241000000000001</v>
      </c>
      <c r="AR76" s="46">
        <f t="shared" ref="AR76:AR86" si="146">(100+(100*0.00759*-1)+(100*0.14*-1)+(100*0.01*-1))/100</f>
        <v>0.84240999999999999</v>
      </c>
      <c r="AS76" s="46">
        <f t="shared" si="140"/>
        <v>0.84240999999999999</v>
      </c>
      <c r="AX76" s="23">
        <v>74</v>
      </c>
      <c r="AY76" s="27">
        <v>37</v>
      </c>
      <c r="AZ76" s="43" t="s">
        <v>0</v>
      </c>
    </row>
    <row r="77" spans="26:52" ht="39.950000000000003" hidden="1" customHeight="1" x14ac:dyDescent="0.25">
      <c r="Z77" s="24">
        <f t="shared" ca="1" si="131"/>
        <v>35221.729999999996</v>
      </c>
      <c r="AA77" s="24">
        <f t="shared" ca="1" si="132"/>
        <v>116861.35080999158</v>
      </c>
      <c r="AB77" s="24">
        <f t="shared" ca="1" si="141"/>
        <v>-886.97765264783607</v>
      </c>
      <c r="AC77" s="24">
        <f t="shared" ca="1" si="133"/>
        <v>152083.08080999157</v>
      </c>
      <c r="AD77" s="24">
        <f t="shared" ca="1" si="134"/>
        <v>4108</v>
      </c>
      <c r="AE77" s="24">
        <f t="shared" ca="1" si="135"/>
        <v>147975.08080999157</v>
      </c>
      <c r="AF77" s="24">
        <f t="shared" ca="1" si="142"/>
        <v>-20716.511313398823</v>
      </c>
      <c r="AG77" s="24">
        <f t="shared" ca="1" si="143"/>
        <v>-1479.7508080999157</v>
      </c>
      <c r="AH77" s="24">
        <f t="shared" ca="1" si="136"/>
        <v>129886.81868849283</v>
      </c>
      <c r="AI77" s="24">
        <f t="shared" ca="1" si="137"/>
        <v>7871.8182357759288</v>
      </c>
      <c r="AJ77" s="24">
        <f t="shared" ca="1" si="144"/>
        <v>122015.00045271689</v>
      </c>
      <c r="AK77" s="24">
        <f ca="1">SUM($AJ$75:AJ77)</f>
        <v>264217.34718836326</v>
      </c>
      <c r="AL77" s="44">
        <f t="shared" ca="1" si="138"/>
        <v>0.2</v>
      </c>
      <c r="AM77" s="34">
        <f t="shared" ca="1" si="145"/>
        <v>1</v>
      </c>
      <c r="AN77" s="46">
        <f>(0)</f>
        <v>0</v>
      </c>
      <c r="AO77" s="24">
        <f>(0)</f>
        <v>0</v>
      </c>
      <c r="AP77" s="24">
        <f>(0)</f>
        <v>0</v>
      </c>
      <c r="AQ77" s="46">
        <f t="shared" si="139"/>
        <v>0.99241000000000001</v>
      </c>
      <c r="AR77" s="46">
        <f t="shared" si="146"/>
        <v>0.84240999999999999</v>
      </c>
      <c r="AS77" s="46">
        <f t="shared" si="140"/>
        <v>0.84240999999999999</v>
      </c>
      <c r="AX77" s="23">
        <v>75</v>
      </c>
      <c r="AY77" s="27">
        <v>37.5</v>
      </c>
      <c r="AZ77" s="43" t="s">
        <v>0</v>
      </c>
    </row>
    <row r="78" spans="26:52" ht="39.950000000000003" hidden="1" customHeight="1" x14ac:dyDescent="0.25">
      <c r="Z78" s="24">
        <f t="shared" ca="1" si="131"/>
        <v>35221.729999999996</v>
      </c>
      <c r="AA78" s="24">
        <f t="shared" ca="1" si="132"/>
        <v>60654.27824437627</v>
      </c>
      <c r="AB78" s="24">
        <f t="shared" ca="1" si="141"/>
        <v>-460.3659718748159</v>
      </c>
      <c r="AC78" s="24">
        <f t="shared" ca="1" si="133"/>
        <v>95876.008244376266</v>
      </c>
      <c r="AD78" s="24">
        <f t="shared" ca="1" si="134"/>
        <v>4108</v>
      </c>
      <c r="AE78" s="24">
        <f t="shared" ca="1" si="135"/>
        <v>91768.008244376266</v>
      </c>
      <c r="AF78" s="24">
        <f t="shared" ca="1" si="142"/>
        <v>-12847.521154212678</v>
      </c>
      <c r="AG78" s="24">
        <f t="shared" ca="1" si="143"/>
        <v>-917.68008244376267</v>
      </c>
      <c r="AH78" s="24">
        <f t="shared" ca="1" si="136"/>
        <v>82110.807007719821</v>
      </c>
      <c r="AI78" s="24">
        <f t="shared" ca="1" si="137"/>
        <v>7871.8182357759288</v>
      </c>
      <c r="AJ78" s="24">
        <f t="shared" ca="1" si="144"/>
        <v>74238.988771943899</v>
      </c>
      <c r="AK78" s="24">
        <f ca="1">SUM($AJ$75:AJ78)</f>
        <v>338456.33596030716</v>
      </c>
      <c r="AL78" s="44">
        <f t="shared" ca="1" si="138"/>
        <v>0.27</v>
      </c>
      <c r="AM78" s="34">
        <f t="shared" ca="1" si="145"/>
        <v>1</v>
      </c>
      <c r="AN78" s="46">
        <f>(0)</f>
        <v>0</v>
      </c>
      <c r="AO78" s="24">
        <f>(0)</f>
        <v>0</v>
      </c>
      <c r="AP78" s="24">
        <f>(0)</f>
        <v>0</v>
      </c>
      <c r="AQ78" s="46">
        <f t="shared" si="139"/>
        <v>0.99241000000000001</v>
      </c>
      <c r="AR78" s="46">
        <f t="shared" si="146"/>
        <v>0.84240999999999999</v>
      </c>
      <c r="AS78" s="46">
        <f t="shared" si="140"/>
        <v>0.84240999999999999</v>
      </c>
      <c r="AX78" s="23">
        <v>76</v>
      </c>
      <c r="AY78" s="27">
        <v>38</v>
      </c>
      <c r="AZ78" s="43" t="s">
        <v>0</v>
      </c>
    </row>
    <row r="79" spans="26:52" ht="39.950000000000003" hidden="1" customHeight="1" x14ac:dyDescent="0.25">
      <c r="Z79" s="24">
        <f t="shared" ca="1" si="131"/>
        <v>35221.729999999996</v>
      </c>
      <c r="AA79" s="24">
        <f t="shared" ca="1" si="132"/>
        <v>62467.409617460638</v>
      </c>
      <c r="AB79" s="24">
        <f t="shared" ca="1" si="141"/>
        <v>-474.12763899652629</v>
      </c>
      <c r="AC79" s="24">
        <f t="shared" ca="1" si="133"/>
        <v>97689.139617460634</v>
      </c>
      <c r="AD79" s="24">
        <f t="shared" ca="1" si="134"/>
        <v>4108</v>
      </c>
      <c r="AE79" s="24">
        <f t="shared" ca="1" si="135"/>
        <v>93581.139617460634</v>
      </c>
      <c r="AF79" s="24">
        <f t="shared" ca="1" si="142"/>
        <v>-13101.35954644449</v>
      </c>
      <c r="AG79" s="24">
        <f t="shared" ca="1" si="143"/>
        <v>-935.81139617460633</v>
      </c>
      <c r="AH79" s="24">
        <f t="shared" ca="1" si="136"/>
        <v>83651.968674841526</v>
      </c>
      <c r="AI79" s="24">
        <f t="shared" ca="1" si="137"/>
        <v>7871.8182357759288</v>
      </c>
      <c r="AJ79" s="24">
        <f t="shared" ca="1" si="144"/>
        <v>75780.15043906559</v>
      </c>
      <c r="AK79" s="24">
        <f ca="1">SUM($AJ$75:AJ79)</f>
        <v>414236.48639937275</v>
      </c>
      <c r="AL79" s="44">
        <f t="shared" ca="1" si="138"/>
        <v>0.27</v>
      </c>
      <c r="AM79" s="34">
        <f t="shared" ca="1" si="145"/>
        <v>0</v>
      </c>
      <c r="AN79" s="46">
        <f>(0)</f>
        <v>0</v>
      </c>
      <c r="AO79" s="24">
        <f>(0)</f>
        <v>0</v>
      </c>
      <c r="AP79" s="24">
        <f>(0)</f>
        <v>0</v>
      </c>
      <c r="AQ79" s="46">
        <f t="shared" si="139"/>
        <v>0.99241000000000001</v>
      </c>
      <c r="AR79" s="46">
        <f t="shared" si="146"/>
        <v>0.84240999999999999</v>
      </c>
      <c r="AS79" s="46">
        <f t="shared" si="140"/>
        <v>0.84240999999999999</v>
      </c>
      <c r="AX79" s="23">
        <v>77</v>
      </c>
      <c r="AY79" s="27">
        <v>38.5</v>
      </c>
      <c r="AZ79" s="43" t="s">
        <v>0</v>
      </c>
    </row>
    <row r="80" spans="26:52" ht="39.950000000000003" hidden="1" customHeight="1" x14ac:dyDescent="0.25">
      <c r="Z80" s="24">
        <f t="shared" ca="1" si="131"/>
        <v>35221.729999999996</v>
      </c>
      <c r="AA80" s="24">
        <f t="shared" ca="1" si="132"/>
        <v>115048.21943690722</v>
      </c>
      <c r="AB80" s="24">
        <f t="shared" ca="1" si="141"/>
        <v>-873.21598552612591</v>
      </c>
      <c r="AC80" s="24">
        <f t="shared" ca="1" si="133"/>
        <v>150269.94943690722</v>
      </c>
      <c r="AD80" s="24">
        <f t="shared" ca="1" si="134"/>
        <v>4108</v>
      </c>
      <c r="AE80" s="24">
        <f t="shared" ca="1" si="135"/>
        <v>146161.94943690722</v>
      </c>
      <c r="AF80" s="24">
        <f t="shared" ca="1" si="142"/>
        <v>-20462.672921167014</v>
      </c>
      <c r="AG80" s="24">
        <f t="shared" ca="1" si="143"/>
        <v>-1461.6194943690723</v>
      </c>
      <c r="AH80" s="24">
        <f t="shared" ca="1" si="136"/>
        <v>128345.65702137112</v>
      </c>
      <c r="AI80" s="24">
        <f t="shared" ca="1" si="137"/>
        <v>7871.8182357759288</v>
      </c>
      <c r="AJ80" s="24">
        <f t="shared" ca="1" si="144"/>
        <v>120473.8387855952</v>
      </c>
      <c r="AK80" s="24">
        <f ca="1">SUM($AJ$75:AJ80)</f>
        <v>534710.32518496795</v>
      </c>
      <c r="AL80" s="44">
        <f t="shared" ca="1" si="138"/>
        <v>0.27</v>
      </c>
      <c r="AM80" s="34">
        <f t="shared" ca="1" si="145"/>
        <v>0</v>
      </c>
      <c r="AN80" s="46">
        <f>(0)</f>
        <v>0</v>
      </c>
      <c r="AO80" s="24">
        <f>(0)</f>
        <v>0</v>
      </c>
      <c r="AP80" s="24">
        <f>(0)</f>
        <v>0</v>
      </c>
      <c r="AQ80" s="46">
        <f t="shared" si="139"/>
        <v>0.99241000000000001</v>
      </c>
      <c r="AR80" s="46">
        <f t="shared" si="146"/>
        <v>0.84240999999999999</v>
      </c>
      <c r="AS80" s="46">
        <f t="shared" si="140"/>
        <v>0.84240999999999999</v>
      </c>
      <c r="AX80" s="23">
        <v>78</v>
      </c>
      <c r="AY80" s="27">
        <v>39</v>
      </c>
      <c r="AZ80" s="43" t="s">
        <v>0</v>
      </c>
    </row>
    <row r="81" spans="26:52" ht="39.950000000000003" hidden="1" customHeight="1" x14ac:dyDescent="0.25">
      <c r="Z81" s="24">
        <f t="shared" ca="1" si="131"/>
        <v>35221.729999999996</v>
      </c>
      <c r="AA81" s="24">
        <f t="shared" ca="1" si="132"/>
        <v>77939.440457550358</v>
      </c>
      <c r="AB81" s="24">
        <f t="shared" ca="1" si="141"/>
        <v>-591.56035307280729</v>
      </c>
      <c r="AC81" s="24">
        <f t="shared" ca="1" si="133"/>
        <v>113161.17045755035</v>
      </c>
      <c r="AD81" s="24">
        <f t="shared" ca="1" si="134"/>
        <v>4108</v>
      </c>
      <c r="AE81" s="24">
        <f t="shared" ca="1" si="135"/>
        <v>109053.17045755035</v>
      </c>
      <c r="AF81" s="24">
        <f t="shared" ca="1" si="142"/>
        <v>-15267.443864057052</v>
      </c>
      <c r="AG81" s="24">
        <f t="shared" ca="1" si="143"/>
        <v>-1090.5317045755035</v>
      </c>
      <c r="AH81" s="24">
        <f t="shared" ca="1" si="136"/>
        <v>96803.194888917802</v>
      </c>
      <c r="AI81" s="24">
        <f t="shared" ca="1" si="137"/>
        <v>8165.5433814888238</v>
      </c>
      <c r="AJ81" s="24">
        <f t="shared" ca="1" si="144"/>
        <v>88637.651507428978</v>
      </c>
      <c r="AK81" s="24">
        <f ca="1">SUM($AJ$75:AJ81)</f>
        <v>623347.97669239691</v>
      </c>
      <c r="AL81" s="44">
        <f t="shared" ca="1" si="138"/>
        <v>0.27</v>
      </c>
      <c r="AM81" s="34">
        <f t="shared" ca="1" si="145"/>
        <v>0</v>
      </c>
      <c r="AN81" s="46">
        <f>(0)</f>
        <v>0</v>
      </c>
      <c r="AO81" s="24">
        <f>(0)</f>
        <v>0</v>
      </c>
      <c r="AP81" s="24">
        <f>(0)</f>
        <v>0</v>
      </c>
      <c r="AQ81" s="46">
        <f t="shared" si="139"/>
        <v>0.99241000000000001</v>
      </c>
      <c r="AR81" s="46">
        <f t="shared" si="146"/>
        <v>0.84240999999999999</v>
      </c>
      <c r="AS81" s="46">
        <f t="shared" si="140"/>
        <v>0.84240999999999999</v>
      </c>
      <c r="AX81" s="23">
        <v>79</v>
      </c>
      <c r="AY81" s="27">
        <v>39.5</v>
      </c>
      <c r="AZ81" s="43" t="s">
        <v>0</v>
      </c>
    </row>
    <row r="82" spans="26:52" ht="39.950000000000003" hidden="1" customHeight="1" x14ac:dyDescent="0.25">
      <c r="Z82" s="24">
        <f t="shared" ca="1" si="131"/>
        <v>35221.729999999996</v>
      </c>
      <c r="AA82" s="24">
        <f t="shared" ca="1" si="132"/>
        <v>77939.440457550358</v>
      </c>
      <c r="AB82" s="24">
        <f t="shared" ca="1" si="141"/>
        <v>-591.56035307280729</v>
      </c>
      <c r="AC82" s="24">
        <f t="shared" ca="1" si="133"/>
        <v>113161.17045755035</v>
      </c>
      <c r="AD82" s="24">
        <f t="shared" ca="1" si="134"/>
        <v>4108</v>
      </c>
      <c r="AE82" s="24">
        <f t="shared" ca="1" si="135"/>
        <v>109053.17045755035</v>
      </c>
      <c r="AF82" s="24">
        <f t="shared" ca="1" si="142"/>
        <v>-15267.443864057052</v>
      </c>
      <c r="AG82" s="24">
        <f t="shared" ca="1" si="143"/>
        <v>-1090.5317045755035</v>
      </c>
      <c r="AH82" s="24">
        <f t="shared" ca="1" si="136"/>
        <v>96803.194888917802</v>
      </c>
      <c r="AI82" s="24">
        <f t="shared" ca="1" si="137"/>
        <v>8165.5433814888238</v>
      </c>
      <c r="AJ82" s="24">
        <f t="shared" ca="1" si="144"/>
        <v>88637.651507428978</v>
      </c>
      <c r="AK82" s="24">
        <f ca="1">SUM($AJ$75:AJ82)</f>
        <v>711985.62819982588</v>
      </c>
      <c r="AL82" s="44">
        <f t="shared" ca="1" si="138"/>
        <v>0.27</v>
      </c>
      <c r="AM82" s="34">
        <f t="shared" ca="1" si="145"/>
        <v>0</v>
      </c>
      <c r="AN82" s="46">
        <f>(0)</f>
        <v>0</v>
      </c>
      <c r="AO82" s="24">
        <f>(0)</f>
        <v>0</v>
      </c>
      <c r="AP82" s="24">
        <f>(0)</f>
        <v>0</v>
      </c>
      <c r="AQ82" s="46">
        <f t="shared" si="139"/>
        <v>0.99241000000000001</v>
      </c>
      <c r="AR82" s="46">
        <f t="shared" si="146"/>
        <v>0.84240999999999999</v>
      </c>
      <c r="AS82" s="46">
        <f t="shared" si="140"/>
        <v>0.84240999999999999</v>
      </c>
      <c r="AX82" s="23">
        <v>80</v>
      </c>
      <c r="AY82" s="27">
        <v>40</v>
      </c>
      <c r="AZ82" s="43" t="s">
        <v>0</v>
      </c>
    </row>
    <row r="83" spans="26:52" ht="39.950000000000003" hidden="1" customHeight="1" x14ac:dyDescent="0.25">
      <c r="Z83" s="24">
        <f t="shared" ca="1" si="131"/>
        <v>35221.729999999996</v>
      </c>
      <c r="AA83" s="24">
        <f t="shared" ca="1" si="132"/>
        <v>162871.36809373705</v>
      </c>
      <c r="AB83" s="24">
        <f t="shared" ca="1" si="141"/>
        <v>-1236.1936838314643</v>
      </c>
      <c r="AC83" s="24">
        <f t="shared" ca="1" si="133"/>
        <v>198093.09809373703</v>
      </c>
      <c r="AD83" s="24">
        <f t="shared" ca="1" si="134"/>
        <v>4108</v>
      </c>
      <c r="AE83" s="24">
        <f t="shared" ca="1" si="135"/>
        <v>193985.09809373703</v>
      </c>
      <c r="AF83" s="24">
        <f t="shared" ca="1" si="142"/>
        <v>-27157.913733123187</v>
      </c>
      <c r="AG83" s="24">
        <f t="shared" ca="1" si="143"/>
        <v>-1939.8509809373704</v>
      </c>
      <c r="AH83" s="24">
        <f t="shared" ca="1" si="136"/>
        <v>168995.33337967648</v>
      </c>
      <c r="AI83" s="24">
        <f t="shared" ca="1" si="137"/>
        <v>8435.1235146781255</v>
      </c>
      <c r="AJ83" s="24">
        <f t="shared" ca="1" si="144"/>
        <v>160560.20986499835</v>
      </c>
      <c r="AK83" s="24">
        <f ca="1">SUM($AJ$75:AJ83)</f>
        <v>872545.83806482423</v>
      </c>
      <c r="AL83" s="44">
        <f t="shared" ca="1" si="138"/>
        <v>0.27</v>
      </c>
      <c r="AM83" s="34">
        <f t="shared" ca="1" si="145"/>
        <v>0</v>
      </c>
      <c r="AN83" s="46">
        <f>(0)</f>
        <v>0</v>
      </c>
      <c r="AO83" s="24">
        <f>(0)</f>
        <v>0</v>
      </c>
      <c r="AP83" s="24">
        <f>(0)</f>
        <v>0</v>
      </c>
      <c r="AQ83" s="46">
        <f t="shared" si="139"/>
        <v>0.99241000000000001</v>
      </c>
      <c r="AR83" s="46">
        <f t="shared" si="146"/>
        <v>0.84240999999999999</v>
      </c>
      <c r="AS83" s="46">
        <f t="shared" si="140"/>
        <v>0.84240999999999999</v>
      </c>
      <c r="AX83" s="23">
        <v>81</v>
      </c>
      <c r="AY83" s="27">
        <v>40.5</v>
      </c>
      <c r="AZ83" s="43" t="s">
        <v>0</v>
      </c>
    </row>
    <row r="84" spans="26:52" ht="39.950000000000003" hidden="1" customHeight="1" x14ac:dyDescent="0.25">
      <c r="Z84" s="24">
        <f t="shared" ca="1" si="131"/>
        <v>35221.729999999996</v>
      </c>
      <c r="AA84" s="24">
        <f t="shared" ca="1" si="132"/>
        <v>92139.610398552963</v>
      </c>
      <c r="AB84" s="24">
        <f t="shared" ca="1" si="141"/>
        <v>-699.33964292501707</v>
      </c>
      <c r="AC84" s="24">
        <f t="shared" ca="1" si="133"/>
        <v>127361.34039855296</v>
      </c>
      <c r="AD84" s="24">
        <f t="shared" ca="1" si="134"/>
        <v>4108</v>
      </c>
      <c r="AE84" s="24">
        <f t="shared" ca="1" si="135"/>
        <v>123253.34039855296</v>
      </c>
      <c r="AF84" s="24">
        <f t="shared" ca="1" si="142"/>
        <v>-17255.467655797416</v>
      </c>
      <c r="AG84" s="24">
        <f t="shared" ca="1" si="143"/>
        <v>-1232.5334039855295</v>
      </c>
      <c r="AH84" s="24">
        <f t="shared" ca="1" si="136"/>
        <v>108873.33933877002</v>
      </c>
      <c r="AI84" s="24">
        <f t="shared" ca="1" si="137"/>
        <v>8435.1235146781255</v>
      </c>
      <c r="AJ84" s="24">
        <f t="shared" ca="1" si="144"/>
        <v>100438.21582409189</v>
      </c>
      <c r="AK84" s="24">
        <f ca="1">SUM($AJ$75:AJ84)</f>
        <v>972984.05388891615</v>
      </c>
      <c r="AL84" s="44">
        <f t="shared" ca="1" si="138"/>
        <v>0.27</v>
      </c>
      <c r="AM84" s="34">
        <f t="shared" ca="1" si="145"/>
        <v>0</v>
      </c>
      <c r="AN84" s="46">
        <f>(0)</f>
        <v>0</v>
      </c>
      <c r="AO84" s="24">
        <f>(0)</f>
        <v>0</v>
      </c>
      <c r="AP84" s="24">
        <f>(0)</f>
        <v>0</v>
      </c>
      <c r="AQ84" s="46">
        <f t="shared" si="139"/>
        <v>0.99241000000000001</v>
      </c>
      <c r="AR84" s="46">
        <f t="shared" si="146"/>
        <v>0.84240999999999999</v>
      </c>
      <c r="AS84" s="46">
        <f t="shared" si="140"/>
        <v>0.84240999999999999</v>
      </c>
      <c r="AX84" s="23">
        <v>82</v>
      </c>
      <c r="AY84" s="27">
        <v>41</v>
      </c>
      <c r="AZ84" s="43" t="s">
        <v>0</v>
      </c>
    </row>
    <row r="85" spans="26:52" ht="39.950000000000003" hidden="1" customHeight="1" x14ac:dyDescent="0.25">
      <c r="Z85" s="24">
        <f t="shared" ca="1" si="131"/>
        <v>35221.729999999996</v>
      </c>
      <c r="AA85" s="24">
        <f t="shared" ca="1" si="132"/>
        <v>89700.58427113283</v>
      </c>
      <c r="AB85" s="24">
        <f t="shared" ca="1" si="141"/>
        <v>-680.82743461789823</v>
      </c>
      <c r="AC85" s="24">
        <f t="shared" ca="1" si="133"/>
        <v>124922.31427113283</v>
      </c>
      <c r="AD85" s="24">
        <f t="shared" ca="1" si="134"/>
        <v>4108</v>
      </c>
      <c r="AE85" s="24">
        <f t="shared" ca="1" si="135"/>
        <v>120814.31427113283</v>
      </c>
      <c r="AF85" s="24">
        <f t="shared" ca="1" si="142"/>
        <v>-16914.003997958596</v>
      </c>
      <c r="AG85" s="24">
        <f t="shared" ca="1" si="143"/>
        <v>-1208.1431427113282</v>
      </c>
      <c r="AH85" s="24">
        <f t="shared" ca="1" si="136"/>
        <v>106800.1671304629</v>
      </c>
      <c r="AI85" s="24">
        <f t="shared" ca="1" si="137"/>
        <v>8435.1235146781255</v>
      </c>
      <c r="AJ85" s="24">
        <f t="shared" ca="1" si="144"/>
        <v>98365.043615784773</v>
      </c>
      <c r="AK85" s="24">
        <f ca="1">SUM($AJ$75:AJ85)</f>
        <v>1071349.097504701</v>
      </c>
      <c r="AL85" s="44">
        <f t="shared" ca="1" si="138"/>
        <v>0.27</v>
      </c>
      <c r="AM85" s="34">
        <f t="shared" ca="1" si="145"/>
        <v>0</v>
      </c>
      <c r="AN85" s="46">
        <f>(0)</f>
        <v>0</v>
      </c>
      <c r="AO85" s="24">
        <f>(0)</f>
        <v>0</v>
      </c>
      <c r="AP85" s="24">
        <f>(0)</f>
        <v>0</v>
      </c>
      <c r="AQ85" s="46">
        <f t="shared" si="139"/>
        <v>0.99241000000000001</v>
      </c>
      <c r="AR85" s="46">
        <f t="shared" si="146"/>
        <v>0.84240999999999999</v>
      </c>
      <c r="AS85" s="46">
        <f t="shared" si="140"/>
        <v>0.84240999999999999</v>
      </c>
      <c r="AX85" s="23">
        <v>83</v>
      </c>
      <c r="AY85" s="27">
        <v>41.5</v>
      </c>
      <c r="AZ85" s="43" t="s">
        <v>0</v>
      </c>
    </row>
    <row r="86" spans="26:52" ht="39.950000000000003" hidden="1" customHeight="1" x14ac:dyDescent="0.25">
      <c r="Z86" s="24">
        <f t="shared" ca="1" si="131"/>
        <v>35221.729999999996</v>
      </c>
      <c r="AA86" s="24">
        <f t="shared" ca="1" si="132"/>
        <v>165310.39422115718</v>
      </c>
      <c r="AB86" s="24">
        <f t="shared" ca="1" si="141"/>
        <v>-1254.7058921385831</v>
      </c>
      <c r="AC86" s="24">
        <f t="shared" ca="1" si="133"/>
        <v>200532.12422115717</v>
      </c>
      <c r="AD86" s="24">
        <f t="shared" ca="1" si="134"/>
        <v>4108</v>
      </c>
      <c r="AE86" s="24">
        <f t="shared" ca="1" si="135"/>
        <v>195041.25</v>
      </c>
      <c r="AF86" s="24">
        <f t="shared" ca="1" si="142"/>
        <v>-27305.775000000001</v>
      </c>
      <c r="AG86" s="24">
        <f t="shared" ca="1" si="143"/>
        <v>-1950.4125000000001</v>
      </c>
      <c r="AH86" s="24">
        <f t="shared" ca="1" si="136"/>
        <v>171275.93672115717</v>
      </c>
      <c r="AI86" s="24">
        <f t="shared" ca="1" si="137"/>
        <v>8435.1235146781255</v>
      </c>
      <c r="AJ86" s="24">
        <f t="shared" ca="1" si="144"/>
        <v>162840.81320647904</v>
      </c>
      <c r="AK86" s="24">
        <f ca="1">SUM($AJ$75:AJ86)</f>
        <v>1234189.91071118</v>
      </c>
      <c r="AL86" s="44">
        <f t="shared" ca="1" si="138"/>
        <v>0.35</v>
      </c>
      <c r="AM86" s="34">
        <f t="shared" ca="1" si="145"/>
        <v>1</v>
      </c>
      <c r="AN86" s="46">
        <f>(0)</f>
        <v>0</v>
      </c>
      <c r="AO86" s="24">
        <f>(0)</f>
        <v>0</v>
      </c>
      <c r="AP86" s="24">
        <f>(0)</f>
        <v>0</v>
      </c>
      <c r="AQ86" s="46">
        <f t="shared" si="139"/>
        <v>0.99241000000000001</v>
      </c>
      <c r="AR86" s="46">
        <f t="shared" si="146"/>
        <v>0.84240999999999999</v>
      </c>
      <c r="AS86" s="46">
        <f t="shared" si="140"/>
        <v>0.84240999999999999</v>
      </c>
      <c r="AX86" s="23">
        <v>84</v>
      </c>
      <c r="AY86" s="27">
        <v>42</v>
      </c>
      <c r="AZ86" s="43" t="s">
        <v>0</v>
      </c>
    </row>
    <row r="87" spans="26:52" ht="39.950000000000003" hidden="1" customHeight="1" x14ac:dyDescent="0.25">
      <c r="Z87" s="24">
        <f t="shared" ref="Z87" ca="1" si="147">(Z75+Z76+Z77+Z78+Z79+Z80+Z81+Z82+Z83+Z84+Z85+Z86)</f>
        <v>416848.99999999983</v>
      </c>
      <c r="AA87" s="24">
        <f t="shared" ref="AA87:AG87" ca="1" si="148">(AA75+AA76+AA77+AA78+AA79+AA80+AA81+AA82+AA83+AA84+AA85+AA86)</f>
        <v>1140057.5468404144</v>
      </c>
      <c r="AB87" s="24">
        <f t="shared" ca="1" si="148"/>
        <v>-8653.036780518747</v>
      </c>
      <c r="AC87" s="24">
        <f t="shared" ca="1" si="148"/>
        <v>1556906.5468404144</v>
      </c>
      <c r="AD87" s="24">
        <f t="shared" ca="1" si="148"/>
        <v>49296</v>
      </c>
      <c r="AE87" s="24">
        <f t="shared" ca="1" si="148"/>
        <v>1506227.6726192574</v>
      </c>
      <c r="AF87" s="24">
        <f t="shared" ca="1" si="148"/>
        <v>-210871.87416669598</v>
      </c>
      <c r="AG87" s="24">
        <f t="shared" ca="1" si="148"/>
        <v>-15062.276726192571</v>
      </c>
      <c r="AH87" s="24">
        <f t="shared" ref="AH87" ca="1" si="149">(AH75+AH76+AH77+AH78+AH79+AH80+AH81+AH82+AH83+AH84+AH85+AH86)</f>
        <v>1330972.3959475257</v>
      </c>
      <c r="AI87" s="24">
        <f ca="1">(AI75+AI76+AI77+AI78+AI79+AI80+AI81+AI82+AI83+AI84+AI85+AI86)</f>
        <v>96782.485236345732</v>
      </c>
      <c r="AJ87" s="24">
        <f ca="1">(AJ75+AJ76+AJ77+AJ78+AJ79+AJ80+AJ81+AJ82+AJ83+AJ84+AJ85+AJ86)</f>
        <v>1234189.91071118</v>
      </c>
      <c r="AK87" s="39" t="s">
        <v>0</v>
      </c>
      <c r="AL87" s="23" t="s">
        <v>0</v>
      </c>
      <c r="AM87" s="23" t="s">
        <v>0</v>
      </c>
      <c r="AN87" s="29">
        <f t="shared" ref="AN87" si="150">(AN75+AN76+AN77+AN78+AN79+AN80+AN81+AN82+AN83+AN84+AN85+AN86)</f>
        <v>0</v>
      </c>
      <c r="AO87" s="24">
        <f t="shared" ref="AO87:AP87" si="151">(AO75+AO76+AO77+AO78+AO79+AO80+AO81+AO82+AO83+AO84+AO85+AO86)</f>
        <v>0</v>
      </c>
      <c r="AP87" s="24">
        <f t="shared" si="151"/>
        <v>0</v>
      </c>
      <c r="AQ87" s="23" t="s">
        <v>0</v>
      </c>
      <c r="AR87" s="23" t="s">
        <v>0</v>
      </c>
      <c r="AS87" s="23" t="s">
        <v>0</v>
      </c>
      <c r="AX87" s="23">
        <v>85</v>
      </c>
      <c r="AY87" s="27">
        <v>42.5</v>
      </c>
      <c r="AZ87" s="43" t="s">
        <v>0</v>
      </c>
    </row>
    <row r="88" spans="26:52" ht="39.950000000000003" hidden="1" customHeight="1" x14ac:dyDescent="0.25">
      <c r="Z88" s="24">
        <f t="shared" ref="Z88" ca="1" si="152">(Z87/12)</f>
        <v>34737.41666666665</v>
      </c>
      <c r="AA88" s="24">
        <f t="shared" ref="AA88:AG88" ca="1" si="153">(AA87/12)</f>
        <v>95004.795570034534</v>
      </c>
      <c r="AB88" s="24">
        <f t="shared" ca="1" si="153"/>
        <v>-721.08639837656222</v>
      </c>
      <c r="AC88" s="24">
        <f t="shared" ca="1" si="153"/>
        <v>129742.21223670121</v>
      </c>
      <c r="AD88" s="24">
        <f t="shared" ca="1" si="153"/>
        <v>4108</v>
      </c>
      <c r="AE88" s="24">
        <f t="shared" ca="1" si="153"/>
        <v>125518.97271827144</v>
      </c>
      <c r="AF88" s="24">
        <f t="shared" ca="1" si="153"/>
        <v>-17572.656180557999</v>
      </c>
      <c r="AG88" s="24">
        <f t="shared" ca="1" si="153"/>
        <v>-1255.1897271827143</v>
      </c>
      <c r="AH88" s="24">
        <f t="shared" ref="AH88" ca="1" si="154">(AH87/12)</f>
        <v>110914.36632896047</v>
      </c>
      <c r="AI88" s="24">
        <f ca="1">(AI87/12)</f>
        <v>8065.2071030288107</v>
      </c>
      <c r="AJ88" s="24">
        <f ca="1">(AJ87/12)</f>
        <v>102849.15922593167</v>
      </c>
      <c r="AK88" s="39" t="s">
        <v>0</v>
      </c>
      <c r="AL88" s="39" t="s">
        <v>0</v>
      </c>
      <c r="AM88" s="39" t="s">
        <v>0</v>
      </c>
      <c r="AN88" s="29">
        <f t="shared" ref="AN88" si="155">(AN87/12)</f>
        <v>0</v>
      </c>
      <c r="AO88" s="24">
        <f t="shared" ref="AO88:AP88" si="156">(AO87/12)</f>
        <v>0</v>
      </c>
      <c r="AP88" s="24">
        <f t="shared" si="156"/>
        <v>0</v>
      </c>
      <c r="AQ88" s="39" t="s">
        <v>0</v>
      </c>
      <c r="AR88" s="39" t="s">
        <v>0</v>
      </c>
      <c r="AS88" s="39" t="s">
        <v>0</v>
      </c>
      <c r="AX88" s="23">
        <v>86</v>
      </c>
      <c r="AY88" s="27">
        <v>43</v>
      </c>
      <c r="AZ88" s="43" t="s">
        <v>0</v>
      </c>
    </row>
    <row r="89" spans="26:52" ht="39.950000000000003" hidden="1" customHeight="1" x14ac:dyDescent="0.25">
      <c r="AX89" s="23">
        <v>87</v>
      </c>
      <c r="AY89" s="27">
        <v>43.5</v>
      </c>
      <c r="AZ89" s="43" t="s">
        <v>0</v>
      </c>
    </row>
    <row r="90" spans="26:52" ht="39.950000000000003" hidden="1" customHeight="1" x14ac:dyDescent="0.25">
      <c r="AX90" s="23">
        <v>88</v>
      </c>
      <c r="AY90" s="27">
        <v>44</v>
      </c>
      <c r="AZ90" s="43" t="s">
        <v>0</v>
      </c>
    </row>
    <row r="91" spans="26:52" ht="39.950000000000003" hidden="1" customHeight="1" x14ac:dyDescent="0.25">
      <c r="AX91" s="23">
        <v>89</v>
      </c>
      <c r="AY91" s="27">
        <v>44.5</v>
      </c>
      <c r="AZ91" s="43" t="s">
        <v>0</v>
      </c>
    </row>
    <row r="92" spans="26:52" ht="39.950000000000003" hidden="1" customHeight="1" x14ac:dyDescent="0.25">
      <c r="AX92" s="23">
        <v>90</v>
      </c>
      <c r="AY92" s="27">
        <v>45</v>
      </c>
      <c r="AZ92" s="43" t="s">
        <v>0</v>
      </c>
    </row>
    <row r="93" spans="26:52" ht="39.950000000000003" hidden="1" customHeight="1" x14ac:dyDescent="0.25">
      <c r="AX93" s="23">
        <v>91</v>
      </c>
      <c r="AY93" s="27">
        <v>45.5</v>
      </c>
      <c r="AZ93" s="43" t="s">
        <v>0</v>
      </c>
    </row>
    <row r="94" spans="26:52" ht="39.950000000000003" hidden="1" customHeight="1" x14ac:dyDescent="0.25">
      <c r="AX94" s="23">
        <v>92</v>
      </c>
      <c r="AY94" s="27">
        <v>46</v>
      </c>
      <c r="AZ94" s="43" t="s">
        <v>0</v>
      </c>
    </row>
    <row r="95" spans="26:52" ht="39.950000000000003" hidden="1" customHeight="1" x14ac:dyDescent="0.25">
      <c r="AX95" s="23">
        <v>93</v>
      </c>
      <c r="AY95" s="27">
        <v>46.5</v>
      </c>
      <c r="AZ95" s="43" t="s">
        <v>0</v>
      </c>
    </row>
    <row r="96" spans="26:52" ht="39.950000000000003" hidden="1" customHeight="1" x14ac:dyDescent="0.25">
      <c r="AX96" s="23">
        <v>94</v>
      </c>
      <c r="AY96" s="27">
        <v>47</v>
      </c>
      <c r="AZ96" s="43" t="s">
        <v>0</v>
      </c>
    </row>
    <row r="97" spans="50:52" ht="39.950000000000003" hidden="1" customHeight="1" x14ac:dyDescent="0.25">
      <c r="AX97" s="23">
        <v>95</v>
      </c>
      <c r="AY97" s="27">
        <v>47.5</v>
      </c>
      <c r="AZ97" s="43" t="s">
        <v>0</v>
      </c>
    </row>
    <row r="98" spans="50:52" ht="39.950000000000003" hidden="1" customHeight="1" x14ac:dyDescent="0.25">
      <c r="AX98" s="23">
        <v>96</v>
      </c>
      <c r="AY98" s="27">
        <v>48</v>
      </c>
      <c r="AZ98" s="43" t="s">
        <v>0</v>
      </c>
    </row>
    <row r="99" spans="50:52" ht="39.950000000000003" hidden="1" customHeight="1" x14ac:dyDescent="0.25">
      <c r="AX99" s="23">
        <v>97</v>
      </c>
      <c r="AY99" s="27">
        <v>48.5</v>
      </c>
      <c r="AZ99" s="43" t="s">
        <v>0</v>
      </c>
    </row>
    <row r="100" spans="50:52" ht="39.950000000000003" hidden="1" customHeight="1" x14ac:dyDescent="0.25">
      <c r="AX100" s="23">
        <v>98</v>
      </c>
      <c r="AY100" s="27">
        <v>49</v>
      </c>
      <c r="AZ100" s="43" t="s">
        <v>0</v>
      </c>
    </row>
    <row r="101" spans="50:52" ht="39.950000000000003" hidden="1" customHeight="1" x14ac:dyDescent="0.25">
      <c r="AX101" s="23">
        <v>99</v>
      </c>
      <c r="AY101" s="27">
        <v>49.5</v>
      </c>
      <c r="AZ101" s="43" t="s">
        <v>0</v>
      </c>
    </row>
    <row r="102" spans="50:52" ht="39.950000000000003" hidden="1" customHeight="1" x14ac:dyDescent="0.25">
      <c r="AX102" s="23">
        <v>100</v>
      </c>
      <c r="AY102" s="27">
        <v>50</v>
      </c>
      <c r="AZ102" s="43" t="s">
        <v>0</v>
      </c>
    </row>
    <row r="103" spans="50:52" ht="39.950000000000003" hidden="1" customHeight="1" x14ac:dyDescent="0.25">
      <c r="AX103" s="23">
        <v>101</v>
      </c>
      <c r="AY103" s="27">
        <v>50.5</v>
      </c>
      <c r="AZ103" s="43" t="s">
        <v>0</v>
      </c>
    </row>
    <row r="104" spans="50:52" ht="39.950000000000003" hidden="1" customHeight="1" x14ac:dyDescent="0.25">
      <c r="AX104" s="23">
        <v>102</v>
      </c>
      <c r="AY104" s="27">
        <v>51</v>
      </c>
      <c r="AZ104" s="43" t="s">
        <v>0</v>
      </c>
    </row>
    <row r="105" spans="50:52" ht="39.950000000000003" hidden="1" customHeight="1" x14ac:dyDescent="0.25">
      <c r="AX105" s="23">
        <v>103</v>
      </c>
      <c r="AY105" s="27">
        <v>51.5</v>
      </c>
      <c r="AZ105" s="43" t="s">
        <v>0</v>
      </c>
    </row>
    <row r="106" spans="50:52" ht="39.950000000000003" hidden="1" customHeight="1" x14ac:dyDescent="0.25">
      <c r="AX106" s="23">
        <v>104</v>
      </c>
      <c r="AY106" s="27">
        <v>52</v>
      </c>
      <c r="AZ106" s="43" t="s">
        <v>0</v>
      </c>
    </row>
    <row r="107" spans="50:52" ht="39.950000000000003" hidden="1" customHeight="1" x14ac:dyDescent="0.25">
      <c r="AX107" s="23">
        <v>105</v>
      </c>
      <c r="AY107" s="27">
        <v>52.5</v>
      </c>
      <c r="AZ107" s="43" t="s">
        <v>0</v>
      </c>
    </row>
    <row r="108" spans="50:52" ht="39.950000000000003" hidden="1" customHeight="1" x14ac:dyDescent="0.25">
      <c r="AX108" s="23">
        <v>106</v>
      </c>
      <c r="AY108" s="27">
        <v>53</v>
      </c>
      <c r="AZ108" s="43" t="s">
        <v>0</v>
      </c>
    </row>
    <row r="109" spans="50:52" ht="39.950000000000003" hidden="1" customHeight="1" x14ac:dyDescent="0.25">
      <c r="AX109" s="23">
        <v>107</v>
      </c>
      <c r="AY109" s="27">
        <v>53.5</v>
      </c>
      <c r="AZ109" s="43" t="s">
        <v>0</v>
      </c>
    </row>
    <row r="110" spans="50:52" ht="39.950000000000003" hidden="1" customHeight="1" x14ac:dyDescent="0.25">
      <c r="AX110" s="23">
        <v>108</v>
      </c>
      <c r="AY110" s="27">
        <v>54</v>
      </c>
      <c r="AZ110" s="43" t="s">
        <v>0</v>
      </c>
    </row>
    <row r="111" spans="50:52" ht="39.950000000000003" hidden="1" customHeight="1" x14ac:dyDescent="0.25">
      <c r="AX111" s="23">
        <v>109</v>
      </c>
      <c r="AY111" s="27">
        <v>54.5</v>
      </c>
      <c r="AZ111" s="43" t="s">
        <v>0</v>
      </c>
    </row>
    <row r="112" spans="50:52" ht="39.950000000000003" hidden="1" customHeight="1" x14ac:dyDescent="0.25">
      <c r="AX112" s="23">
        <v>110</v>
      </c>
      <c r="AY112" s="27">
        <v>55</v>
      </c>
      <c r="AZ112" s="43" t="s">
        <v>0</v>
      </c>
    </row>
    <row r="113" spans="50:52" ht="39.950000000000003" hidden="1" customHeight="1" x14ac:dyDescent="0.25">
      <c r="AX113" s="23">
        <v>111</v>
      </c>
      <c r="AY113" s="27">
        <v>55.5</v>
      </c>
      <c r="AZ113" s="43" t="s">
        <v>0</v>
      </c>
    </row>
    <row r="114" spans="50:52" ht="39.950000000000003" hidden="1" customHeight="1" x14ac:dyDescent="0.25">
      <c r="AX114" s="23">
        <v>112</v>
      </c>
      <c r="AY114" s="27">
        <v>56</v>
      </c>
      <c r="AZ114" s="43" t="s">
        <v>0</v>
      </c>
    </row>
    <row r="115" spans="50:52" ht="39.950000000000003" hidden="1" customHeight="1" x14ac:dyDescent="0.25">
      <c r="AX115" s="23">
        <v>113</v>
      </c>
      <c r="AY115" s="27">
        <v>56.5</v>
      </c>
      <c r="AZ115" s="43" t="s">
        <v>0</v>
      </c>
    </row>
    <row r="116" spans="50:52" ht="39.950000000000003" hidden="1" customHeight="1" x14ac:dyDescent="0.25">
      <c r="AX116" s="23">
        <v>114</v>
      </c>
      <c r="AY116" s="27">
        <v>57</v>
      </c>
      <c r="AZ116" s="43" t="s">
        <v>0</v>
      </c>
    </row>
    <row r="117" spans="50:52" ht="39.950000000000003" hidden="1" customHeight="1" x14ac:dyDescent="0.25">
      <c r="AX117" s="23">
        <v>115</v>
      </c>
      <c r="AY117" s="27">
        <v>57.5</v>
      </c>
      <c r="AZ117" s="43" t="s">
        <v>0</v>
      </c>
    </row>
    <row r="118" spans="50:52" ht="39.950000000000003" hidden="1" customHeight="1" x14ac:dyDescent="0.25">
      <c r="AX118" s="23">
        <v>116</v>
      </c>
      <c r="AY118" s="27">
        <v>58</v>
      </c>
      <c r="AZ118" s="43" t="s">
        <v>0</v>
      </c>
    </row>
    <row r="119" spans="50:52" ht="39.950000000000003" hidden="1" customHeight="1" x14ac:dyDescent="0.25">
      <c r="AX119" s="23">
        <v>117</v>
      </c>
      <c r="AY119" s="27">
        <v>58.5</v>
      </c>
      <c r="AZ119" s="43" t="s">
        <v>0</v>
      </c>
    </row>
    <row r="120" spans="50:52" ht="39.950000000000003" hidden="1" customHeight="1" x14ac:dyDescent="0.25">
      <c r="AX120" s="23">
        <v>118</v>
      </c>
      <c r="AY120" s="27">
        <v>59</v>
      </c>
      <c r="AZ120" s="43" t="s">
        <v>0</v>
      </c>
    </row>
    <row r="121" spans="50:52" ht="39.950000000000003" hidden="1" customHeight="1" x14ac:dyDescent="0.25">
      <c r="AX121" s="23">
        <v>119</v>
      </c>
      <c r="AY121" s="27">
        <v>59.5</v>
      </c>
      <c r="AZ121" s="43" t="s">
        <v>0</v>
      </c>
    </row>
    <row r="122" spans="50:52" ht="39.950000000000003" hidden="1" customHeight="1" x14ac:dyDescent="0.25">
      <c r="AX122" s="23">
        <v>120</v>
      </c>
      <c r="AY122" s="27">
        <v>60</v>
      </c>
      <c r="AZ122" s="43" t="s">
        <v>0</v>
      </c>
    </row>
    <row r="123" spans="50:52" ht="39.950000000000003" hidden="1" customHeight="1" x14ac:dyDescent="0.25">
      <c r="AX123" s="23">
        <v>121</v>
      </c>
      <c r="AY123" s="27">
        <v>60.5</v>
      </c>
      <c r="AZ123" s="43" t="s">
        <v>0</v>
      </c>
    </row>
    <row r="124" spans="50:52" ht="39.950000000000003" hidden="1" customHeight="1" x14ac:dyDescent="0.25">
      <c r="AX124" s="23">
        <v>122</v>
      </c>
      <c r="AY124" s="27">
        <v>61</v>
      </c>
      <c r="AZ124" s="43" t="s">
        <v>0</v>
      </c>
    </row>
    <row r="125" spans="50:52" ht="39.950000000000003" hidden="1" customHeight="1" x14ac:dyDescent="0.25">
      <c r="AX125" s="23">
        <v>123</v>
      </c>
      <c r="AY125" s="27">
        <v>61.5</v>
      </c>
      <c r="AZ125" s="43" t="s">
        <v>0</v>
      </c>
    </row>
    <row r="126" spans="50:52" ht="39.950000000000003" hidden="1" customHeight="1" x14ac:dyDescent="0.25">
      <c r="AX126" s="23">
        <v>124</v>
      </c>
      <c r="AY126" s="27">
        <v>62</v>
      </c>
      <c r="AZ126" s="43" t="s">
        <v>0</v>
      </c>
    </row>
    <row r="127" spans="50:52" ht="39.950000000000003" hidden="1" customHeight="1" x14ac:dyDescent="0.25">
      <c r="AX127" s="23">
        <v>125</v>
      </c>
      <c r="AY127" s="27">
        <v>62.5</v>
      </c>
      <c r="AZ127" s="43" t="s">
        <v>0</v>
      </c>
    </row>
    <row r="128" spans="50:52" ht="39.950000000000003" hidden="1" customHeight="1" x14ac:dyDescent="0.25">
      <c r="AX128" s="23">
        <v>126</v>
      </c>
      <c r="AY128" s="27">
        <v>63</v>
      </c>
      <c r="AZ128" s="43" t="s">
        <v>0</v>
      </c>
    </row>
    <row r="129" spans="50:52" ht="39.950000000000003" hidden="1" customHeight="1" x14ac:dyDescent="0.25">
      <c r="AX129" s="23">
        <v>127</v>
      </c>
      <c r="AY129" s="27">
        <v>63.5</v>
      </c>
      <c r="AZ129" s="43" t="s">
        <v>0</v>
      </c>
    </row>
    <row r="130" spans="50:52" ht="39.950000000000003" hidden="1" customHeight="1" x14ac:dyDescent="0.25">
      <c r="AX130" s="23">
        <v>128</v>
      </c>
      <c r="AY130" s="27">
        <v>64</v>
      </c>
      <c r="AZ130" s="43" t="s">
        <v>0</v>
      </c>
    </row>
    <row r="131" spans="50:52" ht="39.950000000000003" hidden="1" customHeight="1" x14ac:dyDescent="0.25">
      <c r="AX131" s="23">
        <v>129</v>
      </c>
      <c r="AY131" s="27">
        <v>64.5</v>
      </c>
      <c r="AZ131" s="43" t="s">
        <v>0</v>
      </c>
    </row>
    <row r="132" spans="50:52" ht="39.950000000000003" hidden="1" customHeight="1" x14ac:dyDescent="0.25">
      <c r="AX132" s="23">
        <v>130</v>
      </c>
      <c r="AY132" s="27">
        <v>65</v>
      </c>
      <c r="AZ132" s="43" t="s">
        <v>0</v>
      </c>
    </row>
    <row r="133" spans="50:52" ht="39.950000000000003" hidden="1" customHeight="1" x14ac:dyDescent="0.25">
      <c r="AX133" s="23">
        <v>131</v>
      </c>
      <c r="AY133" s="27">
        <v>65.5</v>
      </c>
      <c r="AZ133" s="43" t="s">
        <v>0</v>
      </c>
    </row>
    <row r="134" spans="50:52" ht="39.950000000000003" hidden="1" customHeight="1" x14ac:dyDescent="0.25">
      <c r="AX134" s="23">
        <v>132</v>
      </c>
      <c r="AY134" s="27">
        <v>66</v>
      </c>
      <c r="AZ134" s="43" t="s">
        <v>0</v>
      </c>
    </row>
    <row r="135" spans="50:52" ht="39.950000000000003" hidden="1" customHeight="1" x14ac:dyDescent="0.25">
      <c r="AX135" s="23">
        <v>133</v>
      </c>
      <c r="AY135" s="27">
        <v>66.5</v>
      </c>
      <c r="AZ135" s="43" t="s">
        <v>0</v>
      </c>
    </row>
    <row r="136" spans="50:52" ht="39.950000000000003" hidden="1" customHeight="1" x14ac:dyDescent="0.25">
      <c r="AX136" s="23">
        <v>134</v>
      </c>
      <c r="AY136" s="27">
        <v>67</v>
      </c>
      <c r="AZ136" s="43" t="s">
        <v>0</v>
      </c>
    </row>
    <row r="137" spans="50:52" ht="39.950000000000003" hidden="1" customHeight="1" x14ac:dyDescent="0.25">
      <c r="AX137" s="23">
        <v>135</v>
      </c>
      <c r="AY137" s="27">
        <v>67.5</v>
      </c>
      <c r="AZ137" s="43" t="s">
        <v>0</v>
      </c>
    </row>
    <row r="138" spans="50:52" ht="39.950000000000003" hidden="1" customHeight="1" x14ac:dyDescent="0.25">
      <c r="AX138" s="23">
        <v>136</v>
      </c>
      <c r="AY138" s="27">
        <v>68</v>
      </c>
      <c r="AZ138" s="43" t="s">
        <v>0</v>
      </c>
    </row>
    <row r="139" spans="50:52" ht="39.950000000000003" hidden="1" customHeight="1" x14ac:dyDescent="0.25">
      <c r="AX139" s="23">
        <v>137</v>
      </c>
      <c r="AY139" s="27">
        <v>68.5</v>
      </c>
      <c r="AZ139" s="43" t="s">
        <v>0</v>
      </c>
    </row>
    <row r="140" spans="50:52" ht="39.950000000000003" hidden="1" customHeight="1" x14ac:dyDescent="0.25">
      <c r="AX140" s="23">
        <v>138</v>
      </c>
      <c r="AY140" s="27">
        <v>69</v>
      </c>
      <c r="AZ140" s="43" t="s">
        <v>0</v>
      </c>
    </row>
    <row r="141" spans="50:52" ht="39.950000000000003" hidden="1" customHeight="1" x14ac:dyDescent="0.25">
      <c r="AX141" s="23">
        <v>139</v>
      </c>
      <c r="AY141" s="27">
        <v>69.5</v>
      </c>
      <c r="AZ141" s="43" t="s">
        <v>0</v>
      </c>
    </row>
    <row r="142" spans="50:52" ht="39.950000000000003" hidden="1" customHeight="1" x14ac:dyDescent="0.25">
      <c r="AX142" s="23">
        <v>140</v>
      </c>
      <c r="AY142" s="27">
        <v>70</v>
      </c>
      <c r="AZ142" s="43" t="s">
        <v>0</v>
      </c>
    </row>
    <row r="143" spans="50:52" ht="39.950000000000003" hidden="1" customHeight="1" x14ac:dyDescent="0.25">
      <c r="AX143" s="23">
        <v>141</v>
      </c>
      <c r="AY143" s="27">
        <v>70.5</v>
      </c>
      <c r="AZ143" s="43" t="s">
        <v>0</v>
      </c>
    </row>
    <row r="144" spans="50:52" ht="39.950000000000003" hidden="1" customHeight="1" x14ac:dyDescent="0.25">
      <c r="AX144" s="23">
        <v>142</v>
      </c>
      <c r="AY144" s="27">
        <v>71</v>
      </c>
      <c r="AZ144" s="43" t="s">
        <v>0</v>
      </c>
    </row>
    <row r="145" spans="50:52" ht="39.950000000000003" hidden="1" customHeight="1" x14ac:dyDescent="0.25">
      <c r="AX145" s="23">
        <v>143</v>
      </c>
      <c r="AY145" s="27">
        <v>71.5</v>
      </c>
      <c r="AZ145" s="43" t="s">
        <v>0</v>
      </c>
    </row>
    <row r="146" spans="50:52" ht="39.950000000000003" hidden="1" customHeight="1" x14ac:dyDescent="0.25">
      <c r="AX146" s="23">
        <v>144</v>
      </c>
      <c r="AY146" s="27">
        <v>72</v>
      </c>
      <c r="AZ146" s="43" t="s">
        <v>0</v>
      </c>
    </row>
    <row r="147" spans="50:52" ht="39.950000000000003" hidden="1" customHeight="1" x14ac:dyDescent="0.25">
      <c r="AX147" s="23">
        <v>145</v>
      </c>
      <c r="AY147" s="27">
        <v>72.5</v>
      </c>
      <c r="AZ147" s="43" t="s">
        <v>0</v>
      </c>
    </row>
    <row r="148" spans="50:52" ht="39.950000000000003" hidden="1" customHeight="1" x14ac:dyDescent="0.25">
      <c r="AX148" s="23">
        <v>146</v>
      </c>
      <c r="AY148" s="27">
        <v>73</v>
      </c>
      <c r="AZ148" s="43" t="s">
        <v>0</v>
      </c>
    </row>
    <row r="149" spans="50:52" ht="39.950000000000003" hidden="1" customHeight="1" x14ac:dyDescent="0.25">
      <c r="AX149" s="23">
        <v>147</v>
      </c>
      <c r="AY149" s="27">
        <v>73.5</v>
      </c>
      <c r="AZ149" s="43" t="s">
        <v>0</v>
      </c>
    </row>
    <row r="150" spans="50:52" ht="39.950000000000003" hidden="1" customHeight="1" x14ac:dyDescent="0.25">
      <c r="AX150" s="23">
        <v>148</v>
      </c>
      <c r="AY150" s="27">
        <v>74</v>
      </c>
      <c r="AZ150" s="43" t="s">
        <v>0</v>
      </c>
    </row>
    <row r="151" spans="50:52" ht="39.950000000000003" hidden="1" customHeight="1" x14ac:dyDescent="0.25">
      <c r="AX151" s="23">
        <v>149</v>
      </c>
      <c r="AY151" s="27">
        <v>74.5</v>
      </c>
      <c r="AZ151" s="43" t="s">
        <v>0</v>
      </c>
    </row>
    <row r="152" spans="50:52" ht="39.950000000000003" hidden="1" customHeight="1" x14ac:dyDescent="0.25">
      <c r="AX152" s="23">
        <v>150</v>
      </c>
      <c r="AY152" s="27">
        <v>75</v>
      </c>
      <c r="AZ152" s="43" t="s">
        <v>0</v>
      </c>
    </row>
    <row r="153" spans="50:52" ht="39.950000000000003" hidden="1" customHeight="1" x14ac:dyDescent="0.25">
      <c r="AX153" s="23">
        <v>151</v>
      </c>
      <c r="AY153" s="27">
        <v>75.5</v>
      </c>
      <c r="AZ153" s="43" t="s">
        <v>0</v>
      </c>
    </row>
    <row r="154" spans="50:52" ht="39.950000000000003" hidden="1" customHeight="1" x14ac:dyDescent="0.25">
      <c r="AX154" s="23">
        <v>152</v>
      </c>
      <c r="AY154" s="27">
        <v>76</v>
      </c>
      <c r="AZ154" s="43" t="s">
        <v>0</v>
      </c>
    </row>
    <row r="155" spans="50:52" ht="39.950000000000003" hidden="1" customHeight="1" x14ac:dyDescent="0.25">
      <c r="AX155" s="23">
        <v>153</v>
      </c>
      <c r="AY155" s="27">
        <v>76.5</v>
      </c>
      <c r="AZ155" s="43" t="s">
        <v>0</v>
      </c>
    </row>
    <row r="156" spans="50:52" ht="39.950000000000003" hidden="1" customHeight="1" x14ac:dyDescent="0.25">
      <c r="AX156" s="23">
        <v>154</v>
      </c>
      <c r="AY156" s="27">
        <v>77</v>
      </c>
      <c r="AZ156" s="43" t="s">
        <v>0</v>
      </c>
    </row>
    <row r="157" spans="50:52" ht="39.950000000000003" hidden="1" customHeight="1" x14ac:dyDescent="0.25">
      <c r="AX157" s="23">
        <v>155</v>
      </c>
      <c r="AY157" s="27">
        <v>77.5</v>
      </c>
      <c r="AZ157" s="43" t="s">
        <v>0</v>
      </c>
    </row>
    <row r="158" spans="50:52" ht="39.950000000000003" hidden="1" customHeight="1" x14ac:dyDescent="0.25">
      <c r="AX158" s="23">
        <v>156</v>
      </c>
      <c r="AY158" s="27">
        <v>78</v>
      </c>
      <c r="AZ158" s="43" t="s">
        <v>0</v>
      </c>
    </row>
    <row r="159" spans="50:52" ht="39.950000000000003" hidden="1" customHeight="1" x14ac:dyDescent="0.25">
      <c r="AX159" s="23">
        <v>157</v>
      </c>
      <c r="AY159" s="27">
        <v>78.5</v>
      </c>
      <c r="AZ159" s="43" t="s">
        <v>0</v>
      </c>
    </row>
    <row r="160" spans="50:52" ht="39.950000000000003" hidden="1" customHeight="1" x14ac:dyDescent="0.25">
      <c r="AX160" s="23">
        <v>158</v>
      </c>
      <c r="AY160" s="27">
        <v>79</v>
      </c>
      <c r="AZ160" s="43" t="s">
        <v>0</v>
      </c>
    </row>
    <row r="161" spans="50:52" ht="39.950000000000003" hidden="1" customHeight="1" x14ac:dyDescent="0.25">
      <c r="AX161" s="23">
        <v>159</v>
      </c>
      <c r="AY161" s="27">
        <v>79.5</v>
      </c>
      <c r="AZ161" s="43" t="s">
        <v>0</v>
      </c>
    </row>
    <row r="162" spans="50:52" ht="39.950000000000003" hidden="1" customHeight="1" x14ac:dyDescent="0.25">
      <c r="AX162" s="23">
        <v>160</v>
      </c>
      <c r="AY162" s="27">
        <v>80</v>
      </c>
      <c r="AZ162" s="43" t="s">
        <v>0</v>
      </c>
    </row>
    <row r="163" spans="50:52" ht="39.950000000000003" hidden="1" customHeight="1" x14ac:dyDescent="0.25">
      <c r="AX163" s="23">
        <v>161</v>
      </c>
      <c r="AY163" s="27">
        <v>80.5</v>
      </c>
      <c r="AZ163" s="43" t="s">
        <v>0</v>
      </c>
    </row>
    <row r="164" spans="50:52" ht="39.950000000000003" hidden="1" customHeight="1" x14ac:dyDescent="0.25">
      <c r="AX164" s="23">
        <v>162</v>
      </c>
      <c r="AY164" s="27">
        <v>81</v>
      </c>
      <c r="AZ164" s="43" t="s">
        <v>0</v>
      </c>
    </row>
    <row r="165" spans="50:52" ht="39.950000000000003" hidden="1" customHeight="1" x14ac:dyDescent="0.25">
      <c r="AX165" s="23">
        <v>163</v>
      </c>
      <c r="AY165" s="27">
        <v>81.5</v>
      </c>
      <c r="AZ165" s="43" t="s">
        <v>0</v>
      </c>
    </row>
    <row r="166" spans="50:52" ht="39.950000000000003" hidden="1" customHeight="1" x14ac:dyDescent="0.25">
      <c r="AX166" s="23">
        <v>164</v>
      </c>
      <c r="AY166" s="27">
        <v>82</v>
      </c>
      <c r="AZ166" s="43" t="s">
        <v>0</v>
      </c>
    </row>
    <row r="167" spans="50:52" ht="39.950000000000003" hidden="1" customHeight="1" x14ac:dyDescent="0.25">
      <c r="AX167" s="23">
        <v>165</v>
      </c>
      <c r="AY167" s="27">
        <v>82.5</v>
      </c>
      <c r="AZ167" s="43" t="s">
        <v>0</v>
      </c>
    </row>
    <row r="168" spans="50:52" ht="39.950000000000003" hidden="1" customHeight="1" x14ac:dyDescent="0.25">
      <c r="AX168" s="23">
        <v>166</v>
      </c>
      <c r="AY168" s="27">
        <v>83</v>
      </c>
      <c r="AZ168" s="43" t="s">
        <v>0</v>
      </c>
    </row>
    <row r="169" spans="50:52" ht="39.950000000000003" hidden="1" customHeight="1" x14ac:dyDescent="0.25">
      <c r="AX169" s="23">
        <v>167</v>
      </c>
      <c r="AY169" s="27">
        <v>83.5</v>
      </c>
      <c r="AZ169" s="43" t="s">
        <v>0</v>
      </c>
    </row>
    <row r="170" spans="50:52" ht="39.950000000000003" hidden="1" customHeight="1" x14ac:dyDescent="0.25">
      <c r="AX170" s="23">
        <v>168</v>
      </c>
      <c r="AY170" s="27">
        <v>84</v>
      </c>
      <c r="AZ170" s="43" t="s">
        <v>0</v>
      </c>
    </row>
    <row r="171" spans="50:52" ht="39.950000000000003" hidden="1" customHeight="1" x14ac:dyDescent="0.25">
      <c r="AX171" s="23">
        <v>169</v>
      </c>
      <c r="AY171" s="27">
        <v>84.5</v>
      </c>
      <c r="AZ171" s="43" t="s">
        <v>0</v>
      </c>
    </row>
    <row r="172" spans="50:52" ht="39.950000000000003" hidden="1" customHeight="1" x14ac:dyDescent="0.25">
      <c r="AX172" s="23">
        <v>170</v>
      </c>
      <c r="AY172" s="27">
        <v>85</v>
      </c>
      <c r="AZ172" s="43" t="s">
        <v>0</v>
      </c>
    </row>
    <row r="173" spans="50:52" ht="39.950000000000003" hidden="1" customHeight="1" x14ac:dyDescent="0.25">
      <c r="AX173" s="23">
        <v>171</v>
      </c>
      <c r="AY173" s="27">
        <v>85.5</v>
      </c>
      <c r="AZ173" s="43" t="s">
        <v>0</v>
      </c>
    </row>
    <row r="174" spans="50:52" ht="39.950000000000003" hidden="1" customHeight="1" x14ac:dyDescent="0.25">
      <c r="AX174" s="23">
        <v>172</v>
      </c>
      <c r="AY174" s="27">
        <v>86</v>
      </c>
      <c r="AZ174" s="43" t="s">
        <v>0</v>
      </c>
    </row>
    <row r="175" spans="50:52" ht="39.950000000000003" hidden="1" customHeight="1" x14ac:dyDescent="0.25">
      <c r="AX175" s="23">
        <v>173</v>
      </c>
      <c r="AY175" s="27">
        <v>86.5</v>
      </c>
      <c r="AZ175" s="43" t="s">
        <v>0</v>
      </c>
    </row>
    <row r="176" spans="50:52" ht="39.950000000000003" hidden="1" customHeight="1" x14ac:dyDescent="0.25">
      <c r="AX176" s="23">
        <v>174</v>
      </c>
      <c r="AY176" s="27">
        <v>87</v>
      </c>
      <c r="AZ176" s="43" t="s">
        <v>0</v>
      </c>
    </row>
    <row r="177" spans="50:52" ht="39.950000000000003" hidden="1" customHeight="1" x14ac:dyDescent="0.25">
      <c r="AX177" s="23">
        <v>175</v>
      </c>
      <c r="AY177" s="27">
        <v>87.5</v>
      </c>
      <c r="AZ177" s="43" t="s">
        <v>0</v>
      </c>
    </row>
    <row r="178" spans="50:52" ht="39.950000000000003" hidden="1" customHeight="1" x14ac:dyDescent="0.25">
      <c r="AX178" s="23">
        <v>176</v>
      </c>
      <c r="AY178" s="27">
        <v>88</v>
      </c>
      <c r="AZ178" s="43" t="s">
        <v>0</v>
      </c>
    </row>
    <row r="179" spans="50:52" ht="39.950000000000003" hidden="1" customHeight="1" x14ac:dyDescent="0.25">
      <c r="AX179" s="23">
        <v>177</v>
      </c>
      <c r="AY179" s="27">
        <v>88.5</v>
      </c>
      <c r="AZ179" s="43" t="s">
        <v>0</v>
      </c>
    </row>
    <row r="180" spans="50:52" ht="39.950000000000003" hidden="1" customHeight="1" x14ac:dyDescent="0.25">
      <c r="AX180" s="23">
        <v>178</v>
      </c>
      <c r="AY180" s="27">
        <v>89</v>
      </c>
      <c r="AZ180" s="43" t="s">
        <v>0</v>
      </c>
    </row>
    <row r="181" spans="50:52" ht="39.950000000000003" hidden="1" customHeight="1" x14ac:dyDescent="0.25">
      <c r="AX181" s="23">
        <v>179</v>
      </c>
      <c r="AY181" s="27">
        <v>89.5</v>
      </c>
      <c r="AZ181" s="43" t="s">
        <v>0</v>
      </c>
    </row>
    <row r="182" spans="50:52" ht="39.950000000000003" hidden="1" customHeight="1" x14ac:dyDescent="0.25">
      <c r="AX182" s="23">
        <v>180</v>
      </c>
      <c r="AY182" s="27">
        <v>90</v>
      </c>
      <c r="AZ182" s="43" t="s">
        <v>0</v>
      </c>
    </row>
    <row r="183" spans="50:52" ht="39.950000000000003" hidden="1" customHeight="1" x14ac:dyDescent="0.25">
      <c r="AX183" s="23">
        <v>181</v>
      </c>
      <c r="AY183" s="27">
        <v>90.5</v>
      </c>
      <c r="AZ183" s="43" t="s">
        <v>0</v>
      </c>
    </row>
    <row r="184" spans="50:52" ht="39.950000000000003" hidden="1" customHeight="1" x14ac:dyDescent="0.25">
      <c r="AX184" s="23">
        <v>182</v>
      </c>
      <c r="AY184" s="27">
        <v>91</v>
      </c>
      <c r="AZ184" s="43" t="s">
        <v>0</v>
      </c>
    </row>
    <row r="185" spans="50:52" ht="39.950000000000003" hidden="1" customHeight="1" x14ac:dyDescent="0.25">
      <c r="AX185" s="23">
        <v>183</v>
      </c>
      <c r="AY185" s="27">
        <v>91.5</v>
      </c>
      <c r="AZ185" s="43" t="s">
        <v>0</v>
      </c>
    </row>
    <row r="186" spans="50:52" ht="39.950000000000003" hidden="1" customHeight="1" x14ac:dyDescent="0.25">
      <c r="AX186" s="23">
        <v>184</v>
      </c>
      <c r="AY186" s="27">
        <v>92</v>
      </c>
      <c r="AZ186" s="43" t="s">
        <v>0</v>
      </c>
    </row>
    <row r="187" spans="50:52" ht="39.950000000000003" hidden="1" customHeight="1" x14ac:dyDescent="0.25">
      <c r="AX187" s="23">
        <v>185</v>
      </c>
      <c r="AY187" s="27">
        <v>92.5</v>
      </c>
      <c r="AZ187" s="43" t="s">
        <v>0</v>
      </c>
    </row>
    <row r="188" spans="50:52" ht="39.950000000000003" hidden="1" customHeight="1" x14ac:dyDescent="0.25">
      <c r="AX188" s="23">
        <v>186</v>
      </c>
      <c r="AY188" s="27">
        <v>93</v>
      </c>
      <c r="AZ188" s="43" t="s">
        <v>0</v>
      </c>
    </row>
    <row r="189" spans="50:52" ht="39.950000000000003" hidden="1" customHeight="1" x14ac:dyDescent="0.25">
      <c r="AX189" s="23">
        <v>187</v>
      </c>
      <c r="AY189" s="27">
        <v>93.5</v>
      </c>
      <c r="AZ189" s="43" t="s">
        <v>0</v>
      </c>
    </row>
    <row r="190" spans="50:52" ht="39.950000000000003" hidden="1" customHeight="1" x14ac:dyDescent="0.25">
      <c r="AX190" s="23">
        <v>188</v>
      </c>
      <c r="AY190" s="27">
        <v>94</v>
      </c>
      <c r="AZ190" s="43" t="s">
        <v>0</v>
      </c>
    </row>
    <row r="191" spans="50:52" ht="39.950000000000003" hidden="1" customHeight="1" x14ac:dyDescent="0.25">
      <c r="AX191" s="23">
        <v>189</v>
      </c>
      <c r="AY191" s="27">
        <v>94.5</v>
      </c>
      <c r="AZ191" s="43" t="s">
        <v>0</v>
      </c>
    </row>
    <row r="192" spans="50:52" ht="39.950000000000003" hidden="1" customHeight="1" x14ac:dyDescent="0.25">
      <c r="AX192" s="23">
        <v>190</v>
      </c>
      <c r="AY192" s="27">
        <v>95</v>
      </c>
      <c r="AZ192" s="43" t="s">
        <v>0</v>
      </c>
    </row>
    <row r="193" spans="50:52" ht="39.950000000000003" hidden="1" customHeight="1" x14ac:dyDescent="0.25">
      <c r="AX193" s="23">
        <v>191</v>
      </c>
      <c r="AY193" s="27">
        <v>95.5</v>
      </c>
      <c r="AZ193" s="43" t="s">
        <v>0</v>
      </c>
    </row>
    <row r="194" spans="50:52" ht="39.950000000000003" hidden="1" customHeight="1" x14ac:dyDescent="0.25">
      <c r="AX194" s="23">
        <v>192</v>
      </c>
      <c r="AY194" s="27">
        <v>96</v>
      </c>
      <c r="AZ194" s="43" t="s">
        <v>0</v>
      </c>
    </row>
    <row r="195" spans="50:52" ht="39.950000000000003" hidden="1" customHeight="1" x14ac:dyDescent="0.25">
      <c r="AX195" s="23">
        <v>193</v>
      </c>
      <c r="AY195" s="27">
        <v>96.5</v>
      </c>
      <c r="AZ195" s="43" t="s">
        <v>0</v>
      </c>
    </row>
    <row r="196" spans="50:52" ht="39.950000000000003" hidden="1" customHeight="1" x14ac:dyDescent="0.25">
      <c r="AX196" s="23">
        <v>194</v>
      </c>
      <c r="AY196" s="27">
        <v>97</v>
      </c>
      <c r="AZ196" s="43" t="s">
        <v>0</v>
      </c>
    </row>
    <row r="197" spans="50:52" ht="39.950000000000003" hidden="1" customHeight="1" x14ac:dyDescent="0.25">
      <c r="AX197" s="23">
        <v>195</v>
      </c>
      <c r="AY197" s="27">
        <v>97.5</v>
      </c>
      <c r="AZ197" s="43" t="s">
        <v>0</v>
      </c>
    </row>
    <row r="198" spans="50:52" ht="39.950000000000003" hidden="1" customHeight="1" x14ac:dyDescent="0.25">
      <c r="AX198" s="23">
        <v>196</v>
      </c>
      <c r="AY198" s="27">
        <v>98</v>
      </c>
      <c r="AZ198" s="43" t="s">
        <v>0</v>
      </c>
    </row>
    <row r="199" spans="50:52" ht="39.950000000000003" hidden="1" customHeight="1" x14ac:dyDescent="0.25">
      <c r="AX199" s="23">
        <v>197</v>
      </c>
      <c r="AY199" s="27">
        <v>98.5</v>
      </c>
      <c r="AZ199" s="43" t="s">
        <v>0</v>
      </c>
    </row>
    <row r="200" spans="50:52" ht="39.950000000000003" hidden="1" customHeight="1" x14ac:dyDescent="0.25">
      <c r="AX200" s="23">
        <v>198</v>
      </c>
      <c r="AY200" s="27">
        <v>99</v>
      </c>
      <c r="AZ200" s="43" t="s">
        <v>0</v>
      </c>
    </row>
    <row r="201" spans="50:52" ht="39.950000000000003" hidden="1" customHeight="1" x14ac:dyDescent="0.25">
      <c r="AX201" s="23">
        <v>199</v>
      </c>
      <c r="AY201" s="27">
        <v>99.5</v>
      </c>
      <c r="AZ201" s="43" t="s">
        <v>0</v>
      </c>
    </row>
    <row r="202" spans="50:52" ht="39.950000000000003" hidden="1" customHeight="1" x14ac:dyDescent="0.25">
      <c r="AX202" s="23">
        <v>200</v>
      </c>
      <c r="AY202" s="27">
        <v>100</v>
      </c>
      <c r="AZ202" s="43" t="s">
        <v>0</v>
      </c>
    </row>
    <row r="203" spans="50:52" ht="39.950000000000003" hidden="1" customHeight="1" x14ac:dyDescent="0.25">
      <c r="AX203" s="23">
        <v>201</v>
      </c>
      <c r="AY203" s="27">
        <v>100.5</v>
      </c>
      <c r="AZ203" s="43" t="s">
        <v>0</v>
      </c>
    </row>
    <row r="204" spans="50:52" ht="39.950000000000003" hidden="1" customHeight="1" x14ac:dyDescent="0.25">
      <c r="AX204" s="23">
        <v>202</v>
      </c>
      <c r="AY204" s="27">
        <v>101</v>
      </c>
      <c r="AZ204" s="43" t="s">
        <v>0</v>
      </c>
    </row>
    <row r="205" spans="50:52" ht="39.950000000000003" hidden="1" customHeight="1" x14ac:dyDescent="0.25">
      <c r="AX205" s="23">
        <v>203</v>
      </c>
      <c r="AY205" s="27">
        <v>101.5</v>
      </c>
      <c r="AZ205" s="43" t="s">
        <v>0</v>
      </c>
    </row>
    <row r="206" spans="50:52" ht="39.950000000000003" hidden="1" customHeight="1" x14ac:dyDescent="0.25">
      <c r="AX206" s="23">
        <v>204</v>
      </c>
      <c r="AY206" s="27">
        <v>102</v>
      </c>
      <c r="AZ206" s="43" t="s">
        <v>0</v>
      </c>
    </row>
    <row r="207" spans="50:52" ht="39.950000000000003" hidden="1" customHeight="1" x14ac:dyDescent="0.25">
      <c r="AX207" s="23">
        <v>205</v>
      </c>
      <c r="AY207" s="27">
        <v>102.5</v>
      </c>
      <c r="AZ207" s="43" t="s">
        <v>0</v>
      </c>
    </row>
    <row r="208" spans="50:52" ht="39.950000000000003" hidden="1" customHeight="1" x14ac:dyDescent="0.25">
      <c r="AX208" s="23">
        <v>206</v>
      </c>
      <c r="AY208" s="27">
        <v>103</v>
      </c>
      <c r="AZ208" s="43" t="s">
        <v>0</v>
      </c>
    </row>
    <row r="209" spans="50:52" ht="39.950000000000003" hidden="1" customHeight="1" x14ac:dyDescent="0.25">
      <c r="AX209" s="23">
        <v>207</v>
      </c>
      <c r="AY209" s="27">
        <v>103.5</v>
      </c>
      <c r="AZ209" s="43" t="s">
        <v>0</v>
      </c>
    </row>
    <row r="210" spans="50:52" ht="39.950000000000003" hidden="1" customHeight="1" x14ac:dyDescent="0.25">
      <c r="AX210" s="23">
        <v>208</v>
      </c>
      <c r="AY210" s="27">
        <v>104</v>
      </c>
      <c r="AZ210" s="43" t="s">
        <v>0</v>
      </c>
    </row>
    <row r="211" spans="50:52" ht="39.950000000000003" hidden="1" customHeight="1" x14ac:dyDescent="0.25">
      <c r="AX211" s="23">
        <v>209</v>
      </c>
      <c r="AY211" s="27">
        <v>104.5</v>
      </c>
      <c r="AZ211" s="43" t="s">
        <v>0</v>
      </c>
    </row>
    <row r="212" spans="50:52" ht="39.950000000000003" hidden="1" customHeight="1" x14ac:dyDescent="0.25">
      <c r="AX212" s="23">
        <v>210</v>
      </c>
      <c r="AY212" s="27">
        <v>105</v>
      </c>
      <c r="AZ212" s="43" t="s">
        <v>0</v>
      </c>
    </row>
    <row r="213" spans="50:52" ht="39.950000000000003" hidden="1" customHeight="1" x14ac:dyDescent="0.25">
      <c r="AX213" s="23">
        <v>211</v>
      </c>
      <c r="AY213" s="27">
        <v>105.5</v>
      </c>
      <c r="AZ213" s="43" t="s">
        <v>0</v>
      </c>
    </row>
    <row r="214" spans="50:52" ht="39.950000000000003" hidden="1" customHeight="1" x14ac:dyDescent="0.25">
      <c r="AX214" s="23">
        <v>212</v>
      </c>
      <c r="AY214" s="27">
        <v>106</v>
      </c>
      <c r="AZ214" s="43" t="s">
        <v>0</v>
      </c>
    </row>
    <row r="215" spans="50:52" ht="39.950000000000003" hidden="1" customHeight="1" x14ac:dyDescent="0.25">
      <c r="AX215" s="23">
        <v>213</v>
      </c>
      <c r="AY215" s="27">
        <v>106.5</v>
      </c>
      <c r="AZ215" s="43" t="s">
        <v>0</v>
      </c>
    </row>
    <row r="216" spans="50:52" ht="39.950000000000003" hidden="1" customHeight="1" x14ac:dyDescent="0.25">
      <c r="AX216" s="23">
        <v>214</v>
      </c>
      <c r="AY216" s="27">
        <v>107</v>
      </c>
      <c r="AZ216" s="43" t="s">
        <v>0</v>
      </c>
    </row>
    <row r="217" spans="50:52" ht="39.950000000000003" hidden="1" customHeight="1" x14ac:dyDescent="0.25">
      <c r="AX217" s="23">
        <v>215</v>
      </c>
      <c r="AY217" s="27">
        <v>107.5</v>
      </c>
      <c r="AZ217" s="43" t="s">
        <v>0</v>
      </c>
    </row>
    <row r="218" spans="50:52" ht="39.950000000000003" hidden="1" customHeight="1" x14ac:dyDescent="0.25">
      <c r="AX218" s="23">
        <v>216</v>
      </c>
      <c r="AY218" s="27">
        <v>108</v>
      </c>
      <c r="AZ218" s="43" t="s">
        <v>0</v>
      </c>
    </row>
    <row r="219" spans="50:52" ht="39.950000000000003" hidden="1" customHeight="1" x14ac:dyDescent="0.25">
      <c r="AX219" s="23">
        <v>217</v>
      </c>
      <c r="AY219" s="27">
        <v>108.5</v>
      </c>
      <c r="AZ219" s="43" t="s">
        <v>0</v>
      </c>
    </row>
    <row r="220" spans="50:52" ht="39.950000000000003" hidden="1" customHeight="1" x14ac:dyDescent="0.25">
      <c r="AX220" s="23">
        <v>218</v>
      </c>
      <c r="AY220" s="27">
        <v>109</v>
      </c>
      <c r="AZ220" s="43" t="s">
        <v>0</v>
      </c>
    </row>
    <row r="221" spans="50:52" ht="39.950000000000003" hidden="1" customHeight="1" x14ac:dyDescent="0.25">
      <c r="AX221" s="23">
        <v>219</v>
      </c>
      <c r="AY221" s="27">
        <v>109.5</v>
      </c>
      <c r="AZ221" s="43" t="s">
        <v>0</v>
      </c>
    </row>
    <row r="222" spans="50:52" ht="39.950000000000003" hidden="1" customHeight="1" x14ac:dyDescent="0.25">
      <c r="AX222" s="23">
        <v>220</v>
      </c>
      <c r="AY222" s="27">
        <v>110</v>
      </c>
      <c r="AZ222" s="43" t="s">
        <v>0</v>
      </c>
    </row>
    <row r="223" spans="50:52" ht="39.950000000000003" hidden="1" customHeight="1" x14ac:dyDescent="0.25">
      <c r="AX223" s="23">
        <v>221</v>
      </c>
      <c r="AY223" s="27">
        <v>110.5</v>
      </c>
      <c r="AZ223" s="43" t="s">
        <v>0</v>
      </c>
    </row>
    <row r="224" spans="50:52" ht="39.950000000000003" hidden="1" customHeight="1" x14ac:dyDescent="0.25">
      <c r="AX224" s="23">
        <v>222</v>
      </c>
      <c r="AY224" s="27">
        <v>111</v>
      </c>
      <c r="AZ224" s="43" t="s">
        <v>0</v>
      </c>
    </row>
    <row r="225" spans="50:52" ht="39.950000000000003" hidden="1" customHeight="1" x14ac:dyDescent="0.25">
      <c r="AX225" s="23">
        <v>223</v>
      </c>
      <c r="AY225" s="27">
        <v>111.5</v>
      </c>
      <c r="AZ225" s="43" t="s">
        <v>0</v>
      </c>
    </row>
    <row r="226" spans="50:52" ht="39.950000000000003" hidden="1" customHeight="1" x14ac:dyDescent="0.25">
      <c r="AX226" s="23">
        <v>224</v>
      </c>
      <c r="AY226" s="27">
        <v>112</v>
      </c>
      <c r="AZ226" s="43" t="s">
        <v>0</v>
      </c>
    </row>
    <row r="227" spans="50:52" ht="39.950000000000003" hidden="1" customHeight="1" x14ac:dyDescent="0.25">
      <c r="AX227" s="23">
        <v>225</v>
      </c>
      <c r="AY227" s="27">
        <v>112.5</v>
      </c>
      <c r="AZ227" s="43" t="s">
        <v>0</v>
      </c>
    </row>
    <row r="228" spans="50:52" ht="39.950000000000003" hidden="1" customHeight="1" x14ac:dyDescent="0.25">
      <c r="AX228" s="23">
        <v>226</v>
      </c>
      <c r="AY228" s="27">
        <v>113</v>
      </c>
      <c r="AZ228" s="43" t="s">
        <v>0</v>
      </c>
    </row>
    <row r="229" spans="50:52" ht="39.950000000000003" hidden="1" customHeight="1" x14ac:dyDescent="0.25">
      <c r="AX229" s="23">
        <v>227</v>
      </c>
      <c r="AY229" s="27">
        <v>113.5</v>
      </c>
      <c r="AZ229" s="43" t="s">
        <v>0</v>
      </c>
    </row>
    <row r="230" spans="50:52" ht="39.950000000000003" hidden="1" customHeight="1" x14ac:dyDescent="0.25">
      <c r="AX230" s="23">
        <v>228</v>
      </c>
      <c r="AY230" s="27">
        <v>114</v>
      </c>
      <c r="AZ230" s="43" t="s">
        <v>0</v>
      </c>
    </row>
    <row r="231" spans="50:52" ht="39.950000000000003" hidden="1" customHeight="1" x14ac:dyDescent="0.25">
      <c r="AX231" s="23">
        <v>229</v>
      </c>
      <c r="AY231" s="27">
        <v>114.5</v>
      </c>
      <c r="AZ231" s="43" t="s">
        <v>0</v>
      </c>
    </row>
    <row r="232" spans="50:52" ht="39.950000000000003" hidden="1" customHeight="1" x14ac:dyDescent="0.25">
      <c r="AX232" s="23">
        <v>230</v>
      </c>
      <c r="AY232" s="27">
        <v>115</v>
      </c>
      <c r="AZ232" s="43" t="s">
        <v>0</v>
      </c>
    </row>
    <row r="233" spans="50:52" ht="39.950000000000003" hidden="1" customHeight="1" x14ac:dyDescent="0.25">
      <c r="AX233" s="23">
        <v>231</v>
      </c>
      <c r="AY233" s="27">
        <v>115.5</v>
      </c>
      <c r="AZ233" s="43" t="s">
        <v>0</v>
      </c>
    </row>
    <row r="234" spans="50:52" ht="39.950000000000003" hidden="1" customHeight="1" x14ac:dyDescent="0.25">
      <c r="AX234" s="23">
        <v>232</v>
      </c>
      <c r="AY234" s="27">
        <v>116</v>
      </c>
      <c r="AZ234" s="43" t="s">
        <v>0</v>
      </c>
    </row>
    <row r="235" spans="50:52" ht="39.950000000000003" hidden="1" customHeight="1" x14ac:dyDescent="0.25">
      <c r="AX235" s="23">
        <v>233</v>
      </c>
      <c r="AY235" s="27">
        <v>116.5</v>
      </c>
      <c r="AZ235" s="43" t="s">
        <v>0</v>
      </c>
    </row>
    <row r="236" spans="50:52" ht="39.950000000000003" hidden="1" customHeight="1" x14ac:dyDescent="0.25">
      <c r="AX236" s="23">
        <v>234</v>
      </c>
      <c r="AY236" s="27">
        <v>117</v>
      </c>
      <c r="AZ236" s="43" t="s">
        <v>0</v>
      </c>
    </row>
    <row r="237" spans="50:52" ht="39.950000000000003" hidden="1" customHeight="1" x14ac:dyDescent="0.25">
      <c r="AX237" s="23">
        <v>235</v>
      </c>
      <c r="AY237" s="27">
        <v>117.5</v>
      </c>
      <c r="AZ237" s="43" t="s">
        <v>0</v>
      </c>
    </row>
    <row r="238" spans="50:52" ht="39.950000000000003" hidden="1" customHeight="1" x14ac:dyDescent="0.25">
      <c r="AX238" s="23">
        <v>236</v>
      </c>
      <c r="AY238" s="27">
        <v>118</v>
      </c>
      <c r="AZ238" s="43" t="s">
        <v>0</v>
      </c>
    </row>
    <row r="239" spans="50:52" ht="39.950000000000003" hidden="1" customHeight="1" x14ac:dyDescent="0.25">
      <c r="AX239" s="23">
        <v>237</v>
      </c>
      <c r="AY239" s="27">
        <v>118.5</v>
      </c>
      <c r="AZ239" s="43" t="s">
        <v>0</v>
      </c>
    </row>
    <row r="240" spans="50:52" ht="39.950000000000003" hidden="1" customHeight="1" x14ac:dyDescent="0.25">
      <c r="AX240" s="23">
        <v>238</v>
      </c>
      <c r="AY240" s="27">
        <v>119</v>
      </c>
      <c r="AZ240" s="43" t="s">
        <v>0</v>
      </c>
    </row>
    <row r="241" spans="1:52" ht="39.950000000000003" hidden="1" customHeight="1" x14ac:dyDescent="0.25">
      <c r="AX241" s="23">
        <v>239</v>
      </c>
      <c r="AY241" s="27">
        <v>119.5</v>
      </c>
      <c r="AZ241" s="43" t="s">
        <v>0</v>
      </c>
    </row>
    <row r="242" spans="1:52" ht="39.950000000000003" hidden="1" customHeight="1" x14ac:dyDescent="0.25">
      <c r="AX242" s="23">
        <v>240</v>
      </c>
      <c r="AY242" s="27">
        <v>120</v>
      </c>
      <c r="AZ242" s="43" t="s">
        <v>0</v>
      </c>
    </row>
    <row r="243" spans="1:52" ht="39.950000000000003" hidden="1" customHeight="1" x14ac:dyDescent="0.25">
      <c r="AX243" s="23">
        <v>241</v>
      </c>
      <c r="AY243" s="27">
        <v>120.5</v>
      </c>
      <c r="AZ243" s="43" t="s">
        <v>0</v>
      </c>
    </row>
    <row r="244" spans="1:52" ht="39.950000000000003" hidden="1" customHeight="1" x14ac:dyDescent="0.25">
      <c r="AX244" s="23">
        <v>242</v>
      </c>
      <c r="AY244" s="27">
        <v>121</v>
      </c>
      <c r="AZ244" s="43" t="s">
        <v>0</v>
      </c>
    </row>
    <row r="245" spans="1:52" ht="39.950000000000003" hidden="1" customHeight="1" x14ac:dyDescent="0.25">
      <c r="AX245" s="23">
        <v>243</v>
      </c>
      <c r="AY245" s="27">
        <v>121.5</v>
      </c>
      <c r="AZ245" s="43" t="s">
        <v>0</v>
      </c>
    </row>
    <row r="246" spans="1:52" ht="39.950000000000003" hidden="1" customHeight="1" x14ac:dyDescent="0.25">
      <c r="AX246" s="23">
        <v>244</v>
      </c>
      <c r="AY246" s="27">
        <v>122</v>
      </c>
      <c r="AZ246" s="43" t="s">
        <v>0</v>
      </c>
    </row>
    <row r="247" spans="1:52" ht="39.950000000000003" hidden="1" customHeight="1" x14ac:dyDescent="0.25">
      <c r="AX247" s="23">
        <v>245</v>
      </c>
      <c r="AY247" s="27">
        <v>122.5</v>
      </c>
      <c r="AZ247" s="43" t="s">
        <v>0</v>
      </c>
    </row>
    <row r="248" spans="1:52" ht="39.950000000000003" hidden="1" customHeight="1" x14ac:dyDescent="0.25">
      <c r="AX248" s="23">
        <v>246</v>
      </c>
      <c r="AY248" s="27">
        <v>123</v>
      </c>
      <c r="AZ248" s="43" t="s">
        <v>0</v>
      </c>
    </row>
    <row r="249" spans="1:52" ht="39.950000000000003" hidden="1" customHeight="1" x14ac:dyDescent="0.25">
      <c r="AX249" s="23">
        <v>247</v>
      </c>
      <c r="AY249" s="27">
        <v>123.5</v>
      </c>
      <c r="AZ249" s="43" t="s">
        <v>0</v>
      </c>
    </row>
    <row r="250" spans="1:52" ht="39.950000000000003" hidden="1" customHeight="1" x14ac:dyDescent="0.25">
      <c r="AX250" s="23">
        <v>248</v>
      </c>
      <c r="AY250" s="27">
        <v>124</v>
      </c>
      <c r="AZ250" s="43" t="s">
        <v>0</v>
      </c>
    </row>
    <row r="251" spans="1:52" ht="39.950000000000003" hidden="1" customHeight="1" x14ac:dyDescent="0.25">
      <c r="AX251" s="23">
        <v>249</v>
      </c>
      <c r="AY251" s="27">
        <v>124.5</v>
      </c>
      <c r="AZ251" s="43" t="s">
        <v>0</v>
      </c>
    </row>
    <row r="252" spans="1:52" ht="39.950000000000003" hidden="1" customHeight="1" x14ac:dyDescent="0.25">
      <c r="AX252" s="23">
        <v>250</v>
      </c>
      <c r="AY252" s="27">
        <v>125</v>
      </c>
      <c r="AZ252" s="43" t="s">
        <v>0</v>
      </c>
    </row>
    <row r="253" spans="1:52" ht="39.950000000000003" hidden="1" customHeight="1" x14ac:dyDescent="0.25">
      <c r="AX253" s="23">
        <v>251</v>
      </c>
      <c r="AY253" s="27">
        <v>125.5</v>
      </c>
      <c r="AZ253" s="43" t="s">
        <v>0</v>
      </c>
    </row>
    <row r="254" spans="1:52" s="17" customFormat="1" ht="39.950000000000003" hidden="1" customHeight="1" x14ac:dyDescent="0.25">
      <c r="A254" s="2"/>
      <c r="B254" s="2"/>
      <c r="C254" s="2"/>
      <c r="D254" s="2"/>
      <c r="E254" s="2"/>
      <c r="F254" s="2"/>
      <c r="G254" s="2"/>
      <c r="H254" s="2"/>
      <c r="I254" s="2"/>
      <c r="J254" s="2"/>
      <c r="K254" s="2"/>
      <c r="L254" s="2"/>
      <c r="M254" s="2"/>
      <c r="N254" s="2"/>
      <c r="O254" s="2"/>
      <c r="P254" s="2"/>
      <c r="Q254" s="2"/>
      <c r="R254" s="2"/>
      <c r="S254" s="2"/>
      <c r="T254" s="2"/>
      <c r="U254" s="22"/>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v>252</v>
      </c>
      <c r="AY254" s="27">
        <v>126</v>
      </c>
      <c r="AZ254" s="43" t="s">
        <v>0</v>
      </c>
    </row>
    <row r="255" spans="1:52" s="17" customFormat="1" ht="39.950000000000003" hidden="1" customHeight="1" x14ac:dyDescent="0.25">
      <c r="A255" s="2"/>
      <c r="B255" s="2"/>
      <c r="C255" s="2"/>
      <c r="D255" s="2"/>
      <c r="E255" s="2"/>
      <c r="F255" s="2"/>
      <c r="G255" s="2"/>
      <c r="H255" s="2"/>
      <c r="I255" s="2"/>
      <c r="J255" s="2"/>
      <c r="K255" s="2"/>
      <c r="L255" s="2"/>
      <c r="M255" s="2"/>
      <c r="N255" s="2"/>
      <c r="O255" s="2"/>
      <c r="P255" s="2"/>
      <c r="Q255" s="2"/>
      <c r="R255" s="2"/>
      <c r="S255" s="2"/>
      <c r="T255" s="2"/>
      <c r="U255" s="22"/>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v>253</v>
      </c>
      <c r="AY255" s="27">
        <v>126.5</v>
      </c>
      <c r="AZ255" s="43" t="s">
        <v>0</v>
      </c>
    </row>
    <row r="256" spans="1:52" s="17" customFormat="1" ht="39.950000000000003" hidden="1" customHeight="1" x14ac:dyDescent="0.25">
      <c r="A256" s="2"/>
      <c r="B256" s="2"/>
      <c r="C256" s="2"/>
      <c r="D256" s="2"/>
      <c r="E256" s="2"/>
      <c r="F256" s="2"/>
      <c r="G256" s="2"/>
      <c r="H256" s="2"/>
      <c r="I256" s="2"/>
      <c r="J256" s="2"/>
      <c r="K256" s="2"/>
      <c r="L256" s="2"/>
      <c r="M256" s="2"/>
      <c r="N256" s="2"/>
      <c r="O256" s="2"/>
      <c r="P256" s="2"/>
      <c r="Q256" s="2"/>
      <c r="R256" s="2"/>
      <c r="S256" s="2"/>
      <c r="T256" s="2"/>
      <c r="U256" s="22"/>
      <c r="V256" s="23"/>
      <c r="W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v>254</v>
      </c>
      <c r="AY256" s="27">
        <v>127</v>
      </c>
      <c r="AZ256" s="43" t="s">
        <v>0</v>
      </c>
    </row>
    <row r="257" spans="1:52" s="17" customFormat="1" ht="39.950000000000003" hidden="1" customHeight="1" x14ac:dyDescent="0.25">
      <c r="A257" s="2"/>
      <c r="B257" s="2"/>
      <c r="C257" s="2"/>
      <c r="D257" s="2"/>
      <c r="E257" s="2"/>
      <c r="F257" s="2"/>
      <c r="G257" s="2"/>
      <c r="H257" s="2"/>
      <c r="I257" s="2"/>
      <c r="J257" s="2"/>
      <c r="K257" s="2"/>
      <c r="L257" s="2"/>
      <c r="M257" s="2"/>
      <c r="N257" s="2"/>
      <c r="O257" s="2"/>
      <c r="P257" s="2"/>
      <c r="Q257" s="2"/>
      <c r="R257" s="2"/>
      <c r="S257" s="2"/>
      <c r="T257" s="2"/>
      <c r="U257" s="22"/>
      <c r="V257" s="23"/>
      <c r="W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v>255</v>
      </c>
      <c r="AY257" s="27">
        <v>127.5</v>
      </c>
      <c r="AZ257" s="43" t="s">
        <v>0</v>
      </c>
    </row>
    <row r="258" spans="1:52" s="17" customFormat="1" ht="39.950000000000003" hidden="1" customHeight="1" x14ac:dyDescent="0.25">
      <c r="A258" s="2"/>
      <c r="B258" s="2"/>
      <c r="C258" s="2"/>
      <c r="D258" s="2"/>
      <c r="E258" s="2"/>
      <c r="F258" s="2"/>
      <c r="G258" s="2"/>
      <c r="H258" s="2"/>
      <c r="I258" s="2"/>
      <c r="J258" s="2"/>
      <c r="K258" s="2"/>
      <c r="L258" s="2"/>
      <c r="M258" s="2"/>
      <c r="N258" s="2"/>
      <c r="O258" s="2"/>
      <c r="P258" s="2"/>
      <c r="Q258" s="2"/>
      <c r="R258" s="2"/>
      <c r="S258" s="2"/>
      <c r="T258" s="2"/>
      <c r="U258" s="22"/>
      <c r="V258" s="23"/>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v>256</v>
      </c>
      <c r="AY258" s="27">
        <v>128</v>
      </c>
      <c r="AZ258" s="43" t="s">
        <v>0</v>
      </c>
    </row>
    <row r="259" spans="1:52" s="17" customFormat="1" ht="39.950000000000003" hidden="1" customHeight="1" x14ac:dyDescent="0.25">
      <c r="A259" s="2"/>
      <c r="B259" s="2"/>
      <c r="C259" s="2"/>
      <c r="D259" s="2"/>
      <c r="E259" s="2"/>
      <c r="F259" s="2"/>
      <c r="G259" s="2"/>
      <c r="H259" s="2"/>
      <c r="I259" s="2"/>
      <c r="J259" s="2"/>
      <c r="K259" s="2"/>
      <c r="L259" s="2"/>
      <c r="M259" s="2"/>
      <c r="N259" s="2"/>
      <c r="O259" s="2"/>
      <c r="P259" s="2"/>
      <c r="Q259" s="2"/>
      <c r="R259" s="2"/>
      <c r="S259" s="2"/>
      <c r="T259" s="2"/>
      <c r="U259" s="22"/>
      <c r="V259" s="23"/>
      <c r="W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v>257</v>
      </c>
      <c r="AY259" s="27">
        <v>128.5</v>
      </c>
      <c r="AZ259" s="43" t="s">
        <v>0</v>
      </c>
    </row>
    <row r="260" spans="1:52" s="17" customFormat="1" ht="39.950000000000003" hidden="1" customHeight="1" x14ac:dyDescent="0.25">
      <c r="A260" s="2"/>
      <c r="B260" s="2"/>
      <c r="C260" s="2"/>
      <c r="D260" s="2"/>
      <c r="E260" s="2"/>
      <c r="F260" s="2"/>
      <c r="G260" s="2"/>
      <c r="H260" s="2"/>
      <c r="I260" s="2"/>
      <c r="J260" s="2"/>
      <c r="K260" s="2"/>
      <c r="L260" s="2"/>
      <c r="M260" s="2"/>
      <c r="N260" s="2"/>
      <c r="O260" s="2"/>
      <c r="P260" s="2"/>
      <c r="Q260" s="2"/>
      <c r="R260" s="2"/>
      <c r="S260" s="2"/>
      <c r="T260" s="2"/>
      <c r="U260" s="22"/>
      <c r="V260" s="23"/>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v>258</v>
      </c>
      <c r="AY260" s="27">
        <v>129</v>
      </c>
      <c r="AZ260" s="43" t="s">
        <v>0</v>
      </c>
    </row>
    <row r="261" spans="1:52" s="17" customFormat="1" ht="39.950000000000003" hidden="1" customHeight="1" x14ac:dyDescent="0.25">
      <c r="A261" s="2"/>
      <c r="B261" s="2"/>
      <c r="C261" s="2"/>
      <c r="D261" s="2"/>
      <c r="E261" s="2"/>
      <c r="F261" s="2"/>
      <c r="G261" s="2"/>
      <c r="H261" s="2"/>
      <c r="I261" s="2"/>
      <c r="J261" s="2"/>
      <c r="K261" s="2"/>
      <c r="L261" s="2"/>
      <c r="M261" s="2"/>
      <c r="N261" s="2"/>
      <c r="O261" s="2"/>
      <c r="P261" s="2"/>
      <c r="Q261" s="2"/>
      <c r="R261" s="2"/>
      <c r="S261" s="2"/>
      <c r="T261" s="2"/>
      <c r="U261" s="22"/>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v>259</v>
      </c>
      <c r="AY261" s="27">
        <v>129.5</v>
      </c>
      <c r="AZ261" s="43" t="s">
        <v>0</v>
      </c>
    </row>
    <row r="262" spans="1:52" s="17" customFormat="1" ht="39.950000000000003" hidden="1" customHeight="1" x14ac:dyDescent="0.25">
      <c r="A262" s="2"/>
      <c r="B262" s="2"/>
      <c r="C262" s="2"/>
      <c r="D262" s="2"/>
      <c r="E262" s="2"/>
      <c r="F262" s="2"/>
      <c r="G262" s="2"/>
      <c r="H262" s="2"/>
      <c r="I262" s="2"/>
      <c r="J262" s="2"/>
      <c r="K262" s="2"/>
      <c r="L262" s="2"/>
      <c r="M262" s="2"/>
      <c r="N262" s="2"/>
      <c r="O262" s="2"/>
      <c r="P262" s="2"/>
      <c r="Q262" s="2"/>
      <c r="R262" s="2"/>
      <c r="S262" s="2"/>
      <c r="T262" s="2"/>
      <c r="U262" s="22"/>
      <c r="V262" s="23"/>
      <c r="W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v>260</v>
      </c>
      <c r="AY262" s="27">
        <v>130</v>
      </c>
      <c r="AZ262" s="43" t="s">
        <v>0</v>
      </c>
    </row>
    <row r="263" spans="1:52" s="17" customFormat="1" ht="39.950000000000003" hidden="1" customHeight="1" x14ac:dyDescent="0.25">
      <c r="A263" s="2"/>
      <c r="B263" s="2"/>
      <c r="C263" s="2"/>
      <c r="D263" s="2"/>
      <c r="E263" s="2"/>
      <c r="F263" s="2"/>
      <c r="G263" s="2"/>
      <c r="H263" s="2"/>
      <c r="I263" s="2"/>
      <c r="J263" s="2"/>
      <c r="K263" s="2"/>
      <c r="L263" s="2"/>
      <c r="M263" s="2"/>
      <c r="N263" s="2"/>
      <c r="O263" s="2"/>
      <c r="P263" s="2"/>
      <c r="Q263" s="2"/>
      <c r="R263" s="2"/>
      <c r="S263" s="2"/>
      <c r="T263" s="2"/>
      <c r="U263" s="22"/>
      <c r="V263" s="23"/>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v>261</v>
      </c>
      <c r="AY263" s="27">
        <v>130.5</v>
      </c>
      <c r="AZ263" s="43" t="s">
        <v>0</v>
      </c>
    </row>
    <row r="264" spans="1:52" s="17" customFormat="1" ht="39.950000000000003" hidden="1" customHeight="1" x14ac:dyDescent="0.25">
      <c r="A264" s="2"/>
      <c r="B264" s="2"/>
      <c r="C264" s="2"/>
      <c r="D264" s="2"/>
      <c r="E264" s="2"/>
      <c r="F264" s="2"/>
      <c r="G264" s="2"/>
      <c r="H264" s="2"/>
      <c r="I264" s="2"/>
      <c r="J264" s="2"/>
      <c r="K264" s="2"/>
      <c r="L264" s="2"/>
      <c r="M264" s="2"/>
      <c r="N264" s="2"/>
      <c r="O264" s="2"/>
      <c r="P264" s="2"/>
      <c r="Q264" s="2"/>
      <c r="R264" s="2"/>
      <c r="S264" s="2"/>
      <c r="T264" s="2"/>
      <c r="U264" s="22"/>
      <c r="V264" s="23"/>
      <c r="W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v>262</v>
      </c>
      <c r="AY264" s="27">
        <v>131</v>
      </c>
      <c r="AZ264" s="43" t="s">
        <v>0</v>
      </c>
    </row>
    <row r="265" spans="1:52" s="17" customFormat="1" ht="39.950000000000003" hidden="1" customHeight="1" x14ac:dyDescent="0.25">
      <c r="A265" s="2"/>
      <c r="B265" s="2"/>
      <c r="C265" s="2"/>
      <c r="D265" s="2"/>
      <c r="E265" s="2"/>
      <c r="F265" s="2"/>
      <c r="G265" s="2"/>
      <c r="H265" s="2"/>
      <c r="I265" s="2"/>
      <c r="J265" s="2"/>
      <c r="K265" s="2"/>
      <c r="L265" s="2"/>
      <c r="M265" s="2"/>
      <c r="N265" s="2"/>
      <c r="O265" s="2"/>
      <c r="P265" s="2"/>
      <c r="Q265" s="2"/>
      <c r="R265" s="2"/>
      <c r="S265" s="2"/>
      <c r="T265" s="2"/>
      <c r="U265" s="22"/>
      <c r="V265" s="23"/>
      <c r="W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v>263</v>
      </c>
      <c r="AY265" s="27">
        <v>131.5</v>
      </c>
      <c r="AZ265" s="43" t="s">
        <v>0</v>
      </c>
    </row>
    <row r="266" spans="1:52" s="17" customFormat="1" ht="39.950000000000003" hidden="1" customHeight="1" x14ac:dyDescent="0.25">
      <c r="A266" s="2"/>
      <c r="B266" s="2"/>
      <c r="C266" s="2"/>
      <c r="D266" s="2"/>
      <c r="E266" s="2"/>
      <c r="F266" s="2"/>
      <c r="G266" s="2"/>
      <c r="H266" s="2"/>
      <c r="I266" s="2"/>
      <c r="J266" s="2"/>
      <c r="K266" s="2"/>
      <c r="L266" s="2"/>
      <c r="M266" s="2"/>
      <c r="N266" s="2"/>
      <c r="O266" s="2"/>
      <c r="P266" s="2"/>
      <c r="Q266" s="2"/>
      <c r="R266" s="2"/>
      <c r="S266" s="2"/>
      <c r="T266" s="2"/>
      <c r="U266" s="22"/>
      <c r="V266" s="23"/>
      <c r="W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v>264</v>
      </c>
      <c r="AY266" s="27">
        <v>132</v>
      </c>
      <c r="AZ266" s="43" t="s">
        <v>0</v>
      </c>
    </row>
    <row r="267" spans="1:52" s="17" customFormat="1" ht="39.950000000000003" hidden="1" customHeight="1" x14ac:dyDescent="0.25">
      <c r="A267" s="2"/>
      <c r="B267" s="2"/>
      <c r="C267" s="2"/>
      <c r="D267" s="2"/>
      <c r="E267" s="2"/>
      <c r="F267" s="2"/>
      <c r="G267" s="2"/>
      <c r="H267" s="2"/>
      <c r="I267" s="2"/>
      <c r="J267" s="2"/>
      <c r="K267" s="2"/>
      <c r="L267" s="2"/>
      <c r="M267" s="2"/>
      <c r="N267" s="2"/>
      <c r="O267" s="2"/>
      <c r="P267" s="2"/>
      <c r="Q267" s="2"/>
      <c r="R267" s="2"/>
      <c r="S267" s="2"/>
      <c r="T267" s="2"/>
      <c r="U267" s="22"/>
      <c r="V267" s="23"/>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v>265</v>
      </c>
      <c r="AY267" s="27">
        <v>132.5</v>
      </c>
      <c r="AZ267" s="43" t="s">
        <v>0</v>
      </c>
    </row>
    <row r="268" spans="1:52" s="17" customFormat="1" ht="39.950000000000003" hidden="1" customHeight="1" x14ac:dyDescent="0.25">
      <c r="A268" s="2"/>
      <c r="B268" s="2"/>
      <c r="C268" s="2"/>
      <c r="D268" s="2"/>
      <c r="E268" s="2"/>
      <c r="F268" s="2"/>
      <c r="G268" s="2"/>
      <c r="H268" s="2"/>
      <c r="I268" s="2"/>
      <c r="J268" s="2"/>
      <c r="K268" s="2"/>
      <c r="L268" s="2"/>
      <c r="M268" s="2"/>
      <c r="N268" s="2"/>
      <c r="O268" s="2"/>
      <c r="P268" s="2"/>
      <c r="Q268" s="2"/>
      <c r="R268" s="2"/>
      <c r="S268" s="2"/>
      <c r="T268" s="2"/>
      <c r="U268" s="22"/>
      <c r="V268" s="23"/>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v>266</v>
      </c>
      <c r="AY268" s="27">
        <v>133</v>
      </c>
      <c r="AZ268" s="43" t="s">
        <v>0</v>
      </c>
    </row>
    <row r="269" spans="1:52" s="17" customFormat="1" ht="39.950000000000003" hidden="1" customHeight="1" x14ac:dyDescent="0.25">
      <c r="A269" s="2"/>
      <c r="B269" s="2"/>
      <c r="C269" s="2"/>
      <c r="D269" s="2"/>
      <c r="E269" s="2"/>
      <c r="F269" s="2"/>
      <c r="G269" s="2"/>
      <c r="H269" s="2"/>
      <c r="I269" s="2"/>
      <c r="J269" s="2"/>
      <c r="K269" s="2"/>
      <c r="L269" s="2"/>
      <c r="M269" s="2"/>
      <c r="N269" s="2"/>
      <c r="O269" s="2"/>
      <c r="P269" s="2"/>
      <c r="Q269" s="2"/>
      <c r="R269" s="2"/>
      <c r="S269" s="2"/>
      <c r="T269" s="2"/>
      <c r="U269" s="22"/>
      <c r="V269" s="23"/>
      <c r="W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v>267</v>
      </c>
      <c r="AY269" s="27">
        <v>133.5</v>
      </c>
      <c r="AZ269" s="43" t="s">
        <v>0</v>
      </c>
    </row>
    <row r="270" spans="1:52" ht="39.950000000000003" hidden="1" customHeight="1" x14ac:dyDescent="0.25">
      <c r="AX270" s="23">
        <v>268</v>
      </c>
      <c r="AY270" s="27">
        <v>134</v>
      </c>
      <c r="AZ270" s="43" t="s">
        <v>0</v>
      </c>
    </row>
    <row r="271" spans="1:52" ht="39.950000000000003" hidden="1" customHeight="1" x14ac:dyDescent="0.25">
      <c r="AX271" s="23">
        <v>269</v>
      </c>
      <c r="AY271" s="27">
        <v>134.5</v>
      </c>
      <c r="AZ271" s="43" t="s">
        <v>0</v>
      </c>
    </row>
    <row r="272" spans="1:52" ht="39.950000000000003" hidden="1" customHeight="1" x14ac:dyDescent="0.25">
      <c r="AX272" s="23">
        <v>270</v>
      </c>
      <c r="AY272" s="27">
        <v>135</v>
      </c>
      <c r="AZ272" s="43" t="s">
        <v>0</v>
      </c>
    </row>
    <row r="273" spans="50:52" ht="39.950000000000003" hidden="1" customHeight="1" x14ac:dyDescent="0.25">
      <c r="AX273" s="23">
        <v>271</v>
      </c>
      <c r="AY273" s="27">
        <v>135.5</v>
      </c>
      <c r="AZ273" s="43" t="s">
        <v>0</v>
      </c>
    </row>
    <row r="274" spans="50:52" ht="39.950000000000003" hidden="1" customHeight="1" x14ac:dyDescent="0.25">
      <c r="AX274" s="23">
        <v>272</v>
      </c>
      <c r="AY274" s="27">
        <v>136</v>
      </c>
      <c r="AZ274" s="43" t="s">
        <v>0</v>
      </c>
    </row>
    <row r="275" spans="50:52" ht="39.950000000000003" hidden="1" customHeight="1" x14ac:dyDescent="0.25">
      <c r="AX275" s="23">
        <v>273</v>
      </c>
      <c r="AY275" s="27">
        <v>136.5</v>
      </c>
      <c r="AZ275" s="43" t="s">
        <v>0</v>
      </c>
    </row>
    <row r="276" spans="50:52" ht="39.950000000000003" hidden="1" customHeight="1" x14ac:dyDescent="0.25">
      <c r="AX276" s="23">
        <v>274</v>
      </c>
      <c r="AY276" s="27">
        <v>137</v>
      </c>
      <c r="AZ276" s="43" t="s">
        <v>0</v>
      </c>
    </row>
    <row r="277" spans="50:52" ht="39.950000000000003" hidden="1" customHeight="1" x14ac:dyDescent="0.25">
      <c r="AX277" s="23">
        <v>275</v>
      </c>
      <c r="AY277" s="27">
        <v>137.5</v>
      </c>
      <c r="AZ277" s="43" t="s">
        <v>0</v>
      </c>
    </row>
    <row r="278" spans="50:52" ht="39.950000000000003" hidden="1" customHeight="1" x14ac:dyDescent="0.25">
      <c r="AX278" s="23">
        <v>276</v>
      </c>
      <c r="AY278" s="27">
        <v>138</v>
      </c>
      <c r="AZ278" s="43" t="s">
        <v>0</v>
      </c>
    </row>
    <row r="279" spans="50:52" ht="39.950000000000003" hidden="1" customHeight="1" x14ac:dyDescent="0.25">
      <c r="AX279" s="23">
        <v>277</v>
      </c>
      <c r="AY279" s="27">
        <v>138.5</v>
      </c>
      <c r="AZ279" s="43" t="s">
        <v>0</v>
      </c>
    </row>
    <row r="280" spans="50:52" ht="39.950000000000003" hidden="1" customHeight="1" x14ac:dyDescent="0.25">
      <c r="AX280" s="23">
        <v>278</v>
      </c>
      <c r="AY280" s="27">
        <v>139</v>
      </c>
      <c r="AZ280" s="43" t="s">
        <v>0</v>
      </c>
    </row>
    <row r="281" spans="50:52" ht="39.950000000000003" hidden="1" customHeight="1" x14ac:dyDescent="0.25">
      <c r="AX281" s="23">
        <v>279</v>
      </c>
      <c r="AY281" s="27">
        <v>139.5</v>
      </c>
      <c r="AZ281" s="43" t="s">
        <v>0</v>
      </c>
    </row>
    <row r="282" spans="50:52" ht="39.950000000000003" hidden="1" customHeight="1" x14ac:dyDescent="0.25">
      <c r="AX282" s="23">
        <v>280</v>
      </c>
      <c r="AY282" s="27">
        <v>140</v>
      </c>
      <c r="AZ282" s="43" t="s">
        <v>0</v>
      </c>
    </row>
    <row r="283" spans="50:52" ht="39.950000000000003" hidden="1" customHeight="1" x14ac:dyDescent="0.25">
      <c r="AX283" s="23">
        <v>281</v>
      </c>
      <c r="AY283" s="27">
        <v>140.5</v>
      </c>
      <c r="AZ283" s="43" t="s">
        <v>0</v>
      </c>
    </row>
    <row r="284" spans="50:52" ht="39.950000000000003" hidden="1" customHeight="1" x14ac:dyDescent="0.25">
      <c r="AX284" s="23">
        <v>282</v>
      </c>
      <c r="AY284" s="27">
        <v>141</v>
      </c>
      <c r="AZ284" s="43" t="s">
        <v>0</v>
      </c>
    </row>
    <row r="285" spans="50:52" ht="39.950000000000003" hidden="1" customHeight="1" x14ac:dyDescent="0.25">
      <c r="AX285" s="23">
        <v>283</v>
      </c>
      <c r="AY285" s="27">
        <v>141.5</v>
      </c>
      <c r="AZ285" s="43" t="s">
        <v>0</v>
      </c>
    </row>
    <row r="286" spans="50:52" ht="39.950000000000003" hidden="1" customHeight="1" x14ac:dyDescent="0.25">
      <c r="AX286" s="23">
        <v>284</v>
      </c>
      <c r="AY286" s="27">
        <v>142</v>
      </c>
      <c r="AZ286" s="43" t="s">
        <v>0</v>
      </c>
    </row>
    <row r="287" spans="50:52" ht="39.950000000000003" hidden="1" customHeight="1" x14ac:dyDescent="0.25">
      <c r="AX287" s="23">
        <v>285</v>
      </c>
      <c r="AY287" s="27">
        <v>142.5</v>
      </c>
      <c r="AZ287" s="43" t="s">
        <v>0</v>
      </c>
    </row>
    <row r="288" spans="50:52" ht="39.950000000000003" hidden="1" customHeight="1" x14ac:dyDescent="0.25">
      <c r="AX288" s="23">
        <v>286</v>
      </c>
      <c r="AY288" s="27">
        <v>143</v>
      </c>
      <c r="AZ288" s="43" t="s">
        <v>0</v>
      </c>
    </row>
    <row r="289" spans="50:52" ht="39.950000000000003" hidden="1" customHeight="1" x14ac:dyDescent="0.25">
      <c r="AX289" s="23">
        <v>287</v>
      </c>
      <c r="AY289" s="27">
        <v>143.5</v>
      </c>
      <c r="AZ289" s="43" t="s">
        <v>0</v>
      </c>
    </row>
    <row r="290" spans="50:52" ht="39.950000000000003" hidden="1" customHeight="1" x14ac:dyDescent="0.25">
      <c r="AX290" s="23">
        <v>288</v>
      </c>
      <c r="AY290" s="27">
        <v>144</v>
      </c>
      <c r="AZ290" s="43" t="s">
        <v>0</v>
      </c>
    </row>
    <row r="291" spans="50:52" ht="39.950000000000003" hidden="1" customHeight="1" x14ac:dyDescent="0.25">
      <c r="AX291" s="23">
        <v>289</v>
      </c>
      <c r="AY291" s="27">
        <v>144.5</v>
      </c>
      <c r="AZ291" s="43" t="s">
        <v>0</v>
      </c>
    </row>
    <row r="292" spans="50:52" ht="39.950000000000003" hidden="1" customHeight="1" x14ac:dyDescent="0.25">
      <c r="AX292" s="23">
        <v>290</v>
      </c>
      <c r="AY292" s="27">
        <v>145</v>
      </c>
      <c r="AZ292" s="43" t="s">
        <v>0</v>
      </c>
    </row>
    <row r="293" spans="50:52" ht="39.950000000000003" hidden="1" customHeight="1" x14ac:dyDescent="0.25">
      <c r="AX293" s="23">
        <v>291</v>
      </c>
      <c r="AY293" s="27">
        <v>145.5</v>
      </c>
      <c r="AZ293" s="43" t="s">
        <v>0</v>
      </c>
    </row>
    <row r="294" spans="50:52" ht="39.950000000000003" hidden="1" customHeight="1" x14ac:dyDescent="0.25">
      <c r="AX294" s="23">
        <v>292</v>
      </c>
      <c r="AY294" s="27">
        <v>146</v>
      </c>
      <c r="AZ294" s="43" t="s">
        <v>0</v>
      </c>
    </row>
    <row r="295" spans="50:52" ht="39.950000000000003" hidden="1" customHeight="1" x14ac:dyDescent="0.25">
      <c r="AX295" s="23">
        <v>293</v>
      </c>
      <c r="AY295" s="27">
        <v>146.5</v>
      </c>
      <c r="AZ295" s="43" t="s">
        <v>0</v>
      </c>
    </row>
    <row r="296" spans="50:52" ht="39.950000000000003" hidden="1" customHeight="1" x14ac:dyDescent="0.25">
      <c r="AX296" s="23">
        <v>294</v>
      </c>
      <c r="AY296" s="27">
        <v>147</v>
      </c>
      <c r="AZ296" s="43" t="s">
        <v>0</v>
      </c>
    </row>
    <row r="297" spans="50:52" ht="39.950000000000003" hidden="1" customHeight="1" x14ac:dyDescent="0.25">
      <c r="AX297" s="23">
        <v>295</v>
      </c>
      <c r="AY297" s="27">
        <v>147.5</v>
      </c>
      <c r="AZ297" s="43" t="s">
        <v>0</v>
      </c>
    </row>
    <row r="298" spans="50:52" ht="39.950000000000003" hidden="1" customHeight="1" x14ac:dyDescent="0.25">
      <c r="AX298" s="23">
        <v>296</v>
      </c>
      <c r="AY298" s="27">
        <v>148</v>
      </c>
      <c r="AZ298" s="43" t="s">
        <v>0</v>
      </c>
    </row>
    <row r="299" spans="50:52" ht="39.950000000000003" hidden="1" customHeight="1" x14ac:dyDescent="0.25">
      <c r="AX299" s="23">
        <v>297</v>
      </c>
      <c r="AY299" s="27">
        <v>148.5</v>
      </c>
      <c r="AZ299" s="43" t="s">
        <v>0</v>
      </c>
    </row>
    <row r="300" spans="50:52" ht="39.950000000000003" hidden="1" customHeight="1" x14ac:dyDescent="0.25">
      <c r="AX300" s="23">
        <v>298</v>
      </c>
      <c r="AY300" s="27">
        <v>149</v>
      </c>
      <c r="AZ300" s="43" t="s">
        <v>0</v>
      </c>
    </row>
    <row r="301" spans="50:52" ht="39.950000000000003" hidden="1" customHeight="1" x14ac:dyDescent="0.25">
      <c r="AX301" s="23">
        <v>299</v>
      </c>
      <c r="AY301" s="27">
        <v>149.5</v>
      </c>
      <c r="AZ301" s="43" t="s">
        <v>0</v>
      </c>
    </row>
    <row r="302" spans="50:52" ht="39.950000000000003" hidden="1" customHeight="1" x14ac:dyDescent="0.25">
      <c r="AX302" s="23">
        <v>300</v>
      </c>
      <c r="AY302" s="27">
        <v>150</v>
      </c>
      <c r="AZ302" s="43" t="s">
        <v>0</v>
      </c>
    </row>
    <row r="303" spans="50:52" ht="39.950000000000003" hidden="1" customHeight="1" x14ac:dyDescent="0.25">
      <c r="AX303" s="23">
        <v>301</v>
      </c>
      <c r="AY303" s="27">
        <v>150.5</v>
      </c>
      <c r="AZ303" s="43" t="s">
        <v>0</v>
      </c>
    </row>
    <row r="304" spans="50:52" ht="39.950000000000003" hidden="1" customHeight="1" x14ac:dyDescent="0.25">
      <c r="AX304" s="23">
        <v>302</v>
      </c>
      <c r="AY304" s="27">
        <v>151</v>
      </c>
      <c r="AZ304" s="43" t="s">
        <v>0</v>
      </c>
    </row>
    <row r="305" spans="50:52" ht="39.950000000000003" hidden="1" customHeight="1" x14ac:dyDescent="0.25">
      <c r="AX305" s="23">
        <v>303</v>
      </c>
      <c r="AY305" s="27">
        <v>151.5</v>
      </c>
      <c r="AZ305" s="43" t="s">
        <v>0</v>
      </c>
    </row>
    <row r="306" spans="50:52" ht="39.950000000000003" hidden="1" customHeight="1" x14ac:dyDescent="0.25">
      <c r="AX306" s="23">
        <v>304</v>
      </c>
      <c r="AY306" s="27">
        <v>152</v>
      </c>
      <c r="AZ306" s="43" t="s">
        <v>0</v>
      </c>
    </row>
    <row r="307" spans="50:52" ht="39.950000000000003" hidden="1" customHeight="1" x14ac:dyDescent="0.25">
      <c r="AX307" s="23">
        <v>305</v>
      </c>
      <c r="AY307" s="27">
        <v>152.5</v>
      </c>
      <c r="AZ307" s="43" t="s">
        <v>0</v>
      </c>
    </row>
    <row r="308" spans="50:52" ht="39.950000000000003" hidden="1" customHeight="1" x14ac:dyDescent="0.25">
      <c r="AX308" s="23">
        <v>306</v>
      </c>
      <c r="AY308" s="27">
        <v>153</v>
      </c>
      <c r="AZ308" s="43" t="s">
        <v>0</v>
      </c>
    </row>
    <row r="309" spans="50:52" ht="39.950000000000003" hidden="1" customHeight="1" x14ac:dyDescent="0.25">
      <c r="AX309" s="23">
        <v>307</v>
      </c>
      <c r="AY309" s="27">
        <v>153.5</v>
      </c>
      <c r="AZ309" s="43" t="s">
        <v>0</v>
      </c>
    </row>
    <row r="310" spans="50:52" ht="39.950000000000003" hidden="1" customHeight="1" x14ac:dyDescent="0.25">
      <c r="AX310" s="23">
        <v>308</v>
      </c>
      <c r="AY310" s="27">
        <v>154</v>
      </c>
      <c r="AZ310" s="43" t="s">
        <v>0</v>
      </c>
    </row>
    <row r="311" spans="50:52" ht="39.950000000000003" hidden="1" customHeight="1" x14ac:dyDescent="0.25">
      <c r="AX311" s="23">
        <v>309</v>
      </c>
      <c r="AY311" s="27">
        <v>154.5</v>
      </c>
      <c r="AZ311" s="43" t="s">
        <v>0</v>
      </c>
    </row>
    <row r="312" spans="50:52" ht="39.950000000000003" hidden="1" customHeight="1" x14ac:dyDescent="0.25">
      <c r="AX312" s="23">
        <v>310</v>
      </c>
      <c r="AY312" s="27">
        <v>155</v>
      </c>
      <c r="AZ312" s="43" t="s">
        <v>0</v>
      </c>
    </row>
    <row r="313" spans="50:52" ht="39.950000000000003" hidden="1" customHeight="1" x14ac:dyDescent="0.25">
      <c r="AX313" s="23">
        <v>311</v>
      </c>
      <c r="AY313" s="27">
        <v>155.5</v>
      </c>
      <c r="AZ313" s="43" t="s">
        <v>0</v>
      </c>
    </row>
    <row r="314" spans="50:52" ht="39.950000000000003" hidden="1" customHeight="1" x14ac:dyDescent="0.25">
      <c r="AX314" s="23">
        <v>312</v>
      </c>
      <c r="AY314" s="27">
        <v>156</v>
      </c>
      <c r="AZ314" s="43" t="s">
        <v>0</v>
      </c>
    </row>
    <row r="315" spans="50:52" ht="39.950000000000003" hidden="1" customHeight="1" x14ac:dyDescent="0.25">
      <c r="AX315" s="23">
        <v>313</v>
      </c>
      <c r="AY315" s="27">
        <v>156.5</v>
      </c>
      <c r="AZ315" s="43" t="s">
        <v>0</v>
      </c>
    </row>
    <row r="316" spans="50:52" ht="39.950000000000003" hidden="1" customHeight="1" x14ac:dyDescent="0.25">
      <c r="AX316" s="23">
        <v>314</v>
      </c>
      <c r="AY316" s="27">
        <v>157</v>
      </c>
      <c r="AZ316" s="43" t="s">
        <v>0</v>
      </c>
    </row>
    <row r="317" spans="50:52" ht="39.950000000000003" hidden="1" customHeight="1" x14ac:dyDescent="0.25">
      <c r="AX317" s="23">
        <v>315</v>
      </c>
      <c r="AY317" s="27">
        <v>157.5</v>
      </c>
      <c r="AZ317" s="43" t="s">
        <v>0</v>
      </c>
    </row>
    <row r="318" spans="50:52" ht="39.950000000000003" hidden="1" customHeight="1" x14ac:dyDescent="0.25">
      <c r="AX318" s="23">
        <v>316</v>
      </c>
      <c r="AY318" s="27">
        <v>158</v>
      </c>
      <c r="AZ318" s="43" t="s">
        <v>0</v>
      </c>
    </row>
    <row r="319" spans="50:52" ht="39.950000000000003" hidden="1" customHeight="1" x14ac:dyDescent="0.25">
      <c r="AX319" s="23">
        <v>317</v>
      </c>
      <c r="AY319" s="27">
        <v>158.5</v>
      </c>
      <c r="AZ319" s="43" t="s">
        <v>0</v>
      </c>
    </row>
    <row r="320" spans="50:52" ht="39.950000000000003" hidden="1" customHeight="1" x14ac:dyDescent="0.25">
      <c r="AX320" s="23">
        <v>318</v>
      </c>
      <c r="AY320" s="27">
        <v>159</v>
      </c>
      <c r="AZ320" s="43" t="s">
        <v>0</v>
      </c>
    </row>
    <row r="321" spans="50:52" ht="39.950000000000003" hidden="1" customHeight="1" x14ac:dyDescent="0.25">
      <c r="AX321" s="23">
        <v>319</v>
      </c>
      <c r="AY321" s="27">
        <v>159.5</v>
      </c>
      <c r="AZ321" s="43" t="s">
        <v>0</v>
      </c>
    </row>
    <row r="322" spans="50:52" ht="39.950000000000003" hidden="1" customHeight="1" x14ac:dyDescent="0.25">
      <c r="AX322" s="23">
        <v>320</v>
      </c>
      <c r="AY322" s="27">
        <v>160</v>
      </c>
      <c r="AZ322" s="43" t="s">
        <v>0</v>
      </c>
    </row>
    <row r="323" spans="50:52" ht="39.950000000000003" hidden="1" customHeight="1" x14ac:dyDescent="0.25">
      <c r="AX323" s="23">
        <v>321</v>
      </c>
      <c r="AY323" s="27">
        <v>160.5</v>
      </c>
      <c r="AZ323" s="43" t="s">
        <v>0</v>
      </c>
    </row>
    <row r="324" spans="50:52" ht="39.950000000000003" hidden="1" customHeight="1" x14ac:dyDescent="0.25">
      <c r="AX324" s="23">
        <v>322</v>
      </c>
      <c r="AY324" s="27">
        <v>161</v>
      </c>
      <c r="AZ324" s="43" t="s">
        <v>0</v>
      </c>
    </row>
    <row r="325" spans="50:52" ht="39.950000000000003" hidden="1" customHeight="1" x14ac:dyDescent="0.25">
      <c r="AX325" s="23">
        <v>323</v>
      </c>
      <c r="AY325" s="27">
        <v>161.5</v>
      </c>
      <c r="AZ325" s="43" t="s">
        <v>0</v>
      </c>
    </row>
    <row r="326" spans="50:52" ht="39.950000000000003" hidden="1" customHeight="1" x14ac:dyDescent="0.25">
      <c r="AX326" s="23">
        <v>324</v>
      </c>
      <c r="AY326" s="27">
        <v>162</v>
      </c>
      <c r="AZ326" s="43" t="s">
        <v>0</v>
      </c>
    </row>
    <row r="327" spans="50:52" ht="39.950000000000003" hidden="1" customHeight="1" x14ac:dyDescent="0.25">
      <c r="AX327" s="23">
        <v>325</v>
      </c>
      <c r="AY327" s="27">
        <v>162.5</v>
      </c>
      <c r="AZ327" s="43" t="s">
        <v>0</v>
      </c>
    </row>
    <row r="328" spans="50:52" ht="39.950000000000003" hidden="1" customHeight="1" x14ac:dyDescent="0.25">
      <c r="AX328" s="23">
        <v>326</v>
      </c>
      <c r="AY328" s="27">
        <v>163</v>
      </c>
      <c r="AZ328" s="43" t="s">
        <v>0</v>
      </c>
    </row>
    <row r="329" spans="50:52" ht="39.950000000000003" hidden="1" customHeight="1" x14ac:dyDescent="0.25">
      <c r="AX329" s="23">
        <v>327</v>
      </c>
      <c r="AY329" s="27">
        <v>163.5</v>
      </c>
      <c r="AZ329" s="43" t="s">
        <v>0</v>
      </c>
    </row>
    <row r="330" spans="50:52" ht="39.950000000000003" hidden="1" customHeight="1" x14ac:dyDescent="0.25">
      <c r="AX330" s="23">
        <v>328</v>
      </c>
      <c r="AY330" s="27">
        <v>164</v>
      </c>
      <c r="AZ330" s="43" t="s">
        <v>0</v>
      </c>
    </row>
    <row r="331" spans="50:52" ht="39.950000000000003" hidden="1" customHeight="1" x14ac:dyDescent="0.25">
      <c r="AX331" s="23">
        <v>329</v>
      </c>
      <c r="AY331" s="27">
        <v>164.5</v>
      </c>
      <c r="AZ331" s="43" t="s">
        <v>0</v>
      </c>
    </row>
    <row r="332" spans="50:52" ht="39.950000000000003" hidden="1" customHeight="1" x14ac:dyDescent="0.25">
      <c r="AX332" s="23">
        <v>330</v>
      </c>
      <c r="AY332" s="27">
        <v>165</v>
      </c>
      <c r="AZ332" s="43" t="s">
        <v>0</v>
      </c>
    </row>
    <row r="333" spans="50:52" ht="39.950000000000003" hidden="1" customHeight="1" x14ac:dyDescent="0.25">
      <c r="AX333" s="23">
        <v>331</v>
      </c>
      <c r="AY333" s="27">
        <v>165.5</v>
      </c>
      <c r="AZ333" s="43" t="s">
        <v>0</v>
      </c>
    </row>
    <row r="334" spans="50:52" ht="39.950000000000003" hidden="1" customHeight="1" x14ac:dyDescent="0.25">
      <c r="AX334" s="23">
        <v>332</v>
      </c>
      <c r="AY334" s="27">
        <v>166</v>
      </c>
      <c r="AZ334" s="43" t="s">
        <v>0</v>
      </c>
    </row>
    <row r="335" spans="50:52" ht="39.950000000000003" hidden="1" customHeight="1" x14ac:dyDescent="0.25">
      <c r="AX335" s="23">
        <v>333</v>
      </c>
      <c r="AY335" s="27">
        <v>166.5</v>
      </c>
      <c r="AZ335" s="43" t="s">
        <v>0</v>
      </c>
    </row>
    <row r="336" spans="50:52" ht="39.950000000000003" hidden="1" customHeight="1" x14ac:dyDescent="0.25">
      <c r="AX336" s="23">
        <v>334</v>
      </c>
      <c r="AY336" s="27">
        <v>167</v>
      </c>
      <c r="AZ336" s="43" t="s">
        <v>0</v>
      </c>
    </row>
    <row r="337" spans="50:52" ht="39.950000000000003" hidden="1" customHeight="1" x14ac:dyDescent="0.25">
      <c r="AX337" s="23">
        <v>335</v>
      </c>
      <c r="AY337" s="27">
        <v>167.5</v>
      </c>
      <c r="AZ337" s="43" t="s">
        <v>0</v>
      </c>
    </row>
    <row r="338" spans="50:52" ht="39.950000000000003" hidden="1" customHeight="1" x14ac:dyDescent="0.25">
      <c r="AX338" s="23">
        <v>336</v>
      </c>
      <c r="AY338" s="27">
        <v>168</v>
      </c>
      <c r="AZ338" s="43" t="s">
        <v>0</v>
      </c>
    </row>
    <row r="339" spans="50:52" ht="39.950000000000003" hidden="1" customHeight="1" x14ac:dyDescent="0.25">
      <c r="AX339" s="23">
        <v>337</v>
      </c>
      <c r="AY339" s="27">
        <v>168.5</v>
      </c>
      <c r="AZ339" s="43" t="s">
        <v>0</v>
      </c>
    </row>
    <row r="340" spans="50:52" ht="39.950000000000003" hidden="1" customHeight="1" x14ac:dyDescent="0.25">
      <c r="AX340" s="23">
        <v>338</v>
      </c>
      <c r="AY340" s="27">
        <v>169</v>
      </c>
      <c r="AZ340" s="43" t="s">
        <v>0</v>
      </c>
    </row>
    <row r="341" spans="50:52" ht="39.950000000000003" hidden="1" customHeight="1" x14ac:dyDescent="0.25">
      <c r="AX341" s="23">
        <v>339</v>
      </c>
      <c r="AY341" s="27">
        <v>169.5</v>
      </c>
      <c r="AZ341" s="43" t="s">
        <v>0</v>
      </c>
    </row>
    <row r="342" spans="50:52" ht="39.950000000000003" hidden="1" customHeight="1" x14ac:dyDescent="0.25">
      <c r="AX342" s="23">
        <v>340</v>
      </c>
      <c r="AY342" s="27">
        <v>170</v>
      </c>
      <c r="AZ342" s="43" t="s">
        <v>0</v>
      </c>
    </row>
    <row r="343" spans="50:52" ht="39.950000000000003" hidden="1" customHeight="1" x14ac:dyDescent="0.25">
      <c r="AX343" s="23">
        <v>341</v>
      </c>
      <c r="AY343" s="27">
        <v>170.5</v>
      </c>
      <c r="AZ343" s="43" t="s">
        <v>0</v>
      </c>
    </row>
    <row r="344" spans="50:52" ht="39.950000000000003" hidden="1" customHeight="1" x14ac:dyDescent="0.25">
      <c r="AX344" s="23">
        <v>342</v>
      </c>
      <c r="AY344" s="27">
        <v>171</v>
      </c>
      <c r="AZ344" s="43" t="s">
        <v>0</v>
      </c>
    </row>
    <row r="345" spans="50:52" ht="39.950000000000003" hidden="1" customHeight="1" x14ac:dyDescent="0.25">
      <c r="AX345" s="23">
        <v>343</v>
      </c>
      <c r="AY345" s="27">
        <v>171.5</v>
      </c>
      <c r="AZ345" s="43" t="s">
        <v>0</v>
      </c>
    </row>
    <row r="346" spans="50:52" ht="39.950000000000003" hidden="1" customHeight="1" x14ac:dyDescent="0.25">
      <c r="AX346" s="23">
        <v>344</v>
      </c>
      <c r="AY346" s="27">
        <v>172</v>
      </c>
      <c r="AZ346" s="43" t="s">
        <v>0</v>
      </c>
    </row>
    <row r="347" spans="50:52" ht="39.950000000000003" hidden="1" customHeight="1" x14ac:dyDescent="0.25">
      <c r="AX347" s="23">
        <v>345</v>
      </c>
      <c r="AY347" s="27">
        <v>172.5</v>
      </c>
      <c r="AZ347" s="43" t="s">
        <v>0</v>
      </c>
    </row>
    <row r="348" spans="50:52" ht="39.950000000000003" hidden="1" customHeight="1" x14ac:dyDescent="0.25">
      <c r="AX348" s="23">
        <v>346</v>
      </c>
      <c r="AY348" s="27">
        <v>173</v>
      </c>
      <c r="AZ348" s="43" t="s">
        <v>0</v>
      </c>
    </row>
    <row r="349" spans="50:52" ht="39.950000000000003" hidden="1" customHeight="1" x14ac:dyDescent="0.25">
      <c r="AX349" s="23">
        <v>347</v>
      </c>
      <c r="AY349" s="27">
        <v>173.5</v>
      </c>
      <c r="AZ349" s="43" t="s">
        <v>0</v>
      </c>
    </row>
    <row r="350" spans="50:52" ht="39.950000000000003" hidden="1" customHeight="1" x14ac:dyDescent="0.25">
      <c r="AX350" s="23">
        <v>348</v>
      </c>
      <c r="AY350" s="27">
        <v>174</v>
      </c>
      <c r="AZ350" s="43" t="s">
        <v>0</v>
      </c>
    </row>
    <row r="351" spans="50:52" ht="39.950000000000003" hidden="1" customHeight="1" x14ac:dyDescent="0.25">
      <c r="AX351" s="23">
        <v>349</v>
      </c>
      <c r="AY351" s="27">
        <v>174.5</v>
      </c>
      <c r="AZ351" s="43" t="s">
        <v>0</v>
      </c>
    </row>
    <row r="352" spans="50:52" ht="39.950000000000003" hidden="1" customHeight="1" x14ac:dyDescent="0.25">
      <c r="AX352" s="23">
        <v>350</v>
      </c>
      <c r="AY352" s="27">
        <v>175</v>
      </c>
      <c r="AZ352" s="43" t="s">
        <v>0</v>
      </c>
    </row>
    <row r="353" spans="50:52" ht="39.950000000000003" hidden="1" customHeight="1" x14ac:dyDescent="0.25">
      <c r="AX353" s="23">
        <v>351</v>
      </c>
      <c r="AY353" s="27">
        <v>175.5</v>
      </c>
      <c r="AZ353" s="43" t="s">
        <v>0</v>
      </c>
    </row>
    <row r="354" spans="50:52" ht="39.950000000000003" hidden="1" customHeight="1" x14ac:dyDescent="0.25">
      <c r="AX354" s="23">
        <v>352</v>
      </c>
      <c r="AY354" s="27">
        <v>176</v>
      </c>
      <c r="AZ354" s="43" t="s">
        <v>0</v>
      </c>
    </row>
    <row r="355" spans="50:52" ht="39.950000000000003" hidden="1" customHeight="1" x14ac:dyDescent="0.25">
      <c r="AX355" s="23">
        <v>353</v>
      </c>
      <c r="AY355" s="27">
        <v>176.5</v>
      </c>
      <c r="AZ355" s="43" t="s">
        <v>0</v>
      </c>
    </row>
    <row r="356" spans="50:52" ht="39.950000000000003" hidden="1" customHeight="1" x14ac:dyDescent="0.25">
      <c r="AX356" s="23">
        <v>354</v>
      </c>
      <c r="AY356" s="27">
        <v>177</v>
      </c>
      <c r="AZ356" s="43" t="s">
        <v>0</v>
      </c>
    </row>
    <row r="357" spans="50:52" ht="39.950000000000003" hidden="1" customHeight="1" x14ac:dyDescent="0.25">
      <c r="AX357" s="23">
        <v>355</v>
      </c>
      <c r="AY357" s="27">
        <v>177.5</v>
      </c>
      <c r="AZ357" s="43" t="s">
        <v>0</v>
      </c>
    </row>
    <row r="358" spans="50:52" ht="39.950000000000003" hidden="1" customHeight="1" x14ac:dyDescent="0.25">
      <c r="AX358" s="23">
        <v>356</v>
      </c>
      <c r="AY358" s="27">
        <v>178</v>
      </c>
      <c r="AZ358" s="43" t="s">
        <v>0</v>
      </c>
    </row>
    <row r="359" spans="50:52" ht="39.950000000000003" hidden="1" customHeight="1" x14ac:dyDescent="0.25">
      <c r="AX359" s="23">
        <v>357</v>
      </c>
      <c r="AY359" s="27">
        <v>178.5</v>
      </c>
      <c r="AZ359" s="43" t="s">
        <v>0</v>
      </c>
    </row>
    <row r="360" spans="50:52" ht="39.950000000000003" hidden="1" customHeight="1" x14ac:dyDescent="0.25">
      <c r="AX360" s="23">
        <v>358</v>
      </c>
      <c r="AY360" s="27">
        <v>179</v>
      </c>
      <c r="AZ360" s="43" t="s">
        <v>0</v>
      </c>
    </row>
    <row r="361" spans="50:52" ht="39.950000000000003" hidden="1" customHeight="1" x14ac:dyDescent="0.25">
      <c r="AX361" s="23">
        <v>359</v>
      </c>
      <c r="AY361" s="27">
        <v>179.5</v>
      </c>
      <c r="AZ361" s="43" t="s">
        <v>0</v>
      </c>
    </row>
    <row r="362" spans="50:52" ht="39.950000000000003" hidden="1" customHeight="1" x14ac:dyDescent="0.25">
      <c r="AX362" s="23">
        <v>360</v>
      </c>
      <c r="AY362" s="27">
        <v>180</v>
      </c>
      <c r="AZ362" s="43" t="s">
        <v>0</v>
      </c>
    </row>
    <row r="363" spans="50:52" ht="9.9499999999999993" hidden="1" customHeight="1" x14ac:dyDescent="0.25"/>
  </sheetData>
  <sheetProtection algorithmName="SHA-512" hashValue="c9gCP8IOtBxtJPYbwpeltAaRoF3S3mzMlLG16+5hdSHKhh7M5zzHnLvQxE7YBd6/per3/COOvKUXW/hHt24iXw==" saltValue="SOjN4OcH5w/aKDe0BjxSvw==" spinCount="100000" sheet="1" objects="1" scenarios="1" selectLockedCells="1"/>
  <mergeCells count="23">
    <mergeCell ref="L1:L14"/>
    <mergeCell ref="M1:M14"/>
    <mergeCell ref="G1:I14"/>
    <mergeCell ref="U1:U28"/>
    <mergeCell ref="K1:K14"/>
    <mergeCell ref="J1:J14"/>
    <mergeCell ref="B2:B5"/>
    <mergeCell ref="B6:B9"/>
    <mergeCell ref="B10:B13"/>
    <mergeCell ref="R28:T28"/>
    <mergeCell ref="O1:O28"/>
    <mergeCell ref="P1:P28"/>
    <mergeCell ref="Q1:Q28"/>
    <mergeCell ref="R1:T1"/>
    <mergeCell ref="R2:R27"/>
    <mergeCell ref="S2:S27"/>
    <mergeCell ref="T2:T27"/>
    <mergeCell ref="N1:N14"/>
    <mergeCell ref="A1:A14"/>
    <mergeCell ref="C1:C14"/>
    <mergeCell ref="F1:F14"/>
    <mergeCell ref="D1:D14"/>
    <mergeCell ref="E1:E14"/>
  </mergeCells>
  <dataValidations count="10">
    <dataValidation type="list" allowBlank="1" showInputMessage="1" showErrorMessage="1" sqref="AE43:AE54 C15:C26 F15:F26 AN29:AN40 AK29:AK40 AH43:AH54" xr:uid="{00000000-0002-0000-0000-000002000000}">
      <formula1>$AX$2:$AX$362</formula1>
    </dataValidation>
    <dataValidation type="list" allowBlank="1" showInputMessage="1" showErrorMessage="1" sqref="D15:E26" xr:uid="{00000000-0002-0000-0000-000003000000}">
      <formula1>$AY$2:$AY$362</formula1>
    </dataValidation>
    <dataValidation type="list" allowBlank="1" showInputMessage="1" showErrorMessage="1" sqref="AF18" xr:uid="{00000000-0002-0000-0000-000005000000}">
      <formula1>#REF!</formula1>
    </dataValidation>
    <dataValidation type="list" allowBlank="1" showInputMessage="1" showErrorMessage="1" sqref="O1:O28" xr:uid="{00000000-0002-0000-0000-000006000000}">
      <formula1>"Ocak, Şubat, Mart, Nisan, Mayıs, Haziran, Temmuz, Ağustos, Eylül, Ekim, Kasım, Aralık, Yıllık Toplam, Yıllık Ortalama"</formula1>
    </dataValidation>
    <dataValidation type="list" allowBlank="1" showInputMessage="1" showErrorMessage="1" sqref="J15:J26" xr:uid="{00000000-0002-0000-0000-000007000000}">
      <formula1>$AZ$2:$AZ$50</formula1>
    </dataValidation>
    <dataValidation type="list" allowBlank="1" showInputMessage="1" showErrorMessage="1" sqref="AN43:AN54" xr:uid="{00000000-0002-0000-0000-000008000000}">
      <formula1>"Yok, Var"</formula1>
    </dataValidation>
    <dataValidation type="list" allowBlank="1" showInputMessage="1" showErrorMessage="1" sqref="K15:K26" xr:uid="{8915175A-DFE1-4492-8871-87E3446AF410}">
      <formula1>"Yok,1. Derece,2. Derece,3. Derece"</formula1>
    </dataValidation>
    <dataValidation type="list" allowBlank="1" showInputMessage="1" showErrorMessage="1" sqref="A1:A14" xr:uid="{6184A673-910E-43C5-8F0F-D59932D20658}">
      <formula1>$AA$1:$AA$4</formula1>
    </dataValidation>
    <dataValidation type="list" allowBlank="1" showInputMessage="1" showErrorMessage="1" sqref="G15:I26" xr:uid="{AF5C3563-2A7E-4827-B823-3889B73E9DB0}">
      <formula1>$AC$42:$AC$57</formula1>
    </dataValidation>
    <dataValidation type="list" allowBlank="1" showInputMessage="1" showErrorMessage="1" sqref="Q1" xr:uid="{00000000-0002-0000-0000-000001000000}">
      <formula1>$V$20:$V$33</formula1>
    </dataValidation>
  </dataValidations>
  <printOptions horizontalCentered="1" verticalCentered="1"/>
  <pageMargins left="0" right="0" top="0" bottom="0" header="0" footer="0"/>
  <pageSetup paperSize="8"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Özet Tablo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dc:creator>
  <dc:description/>
  <cp:lastModifiedBy>½</cp:lastModifiedBy>
  <cp:lastPrinted>2021-01-27T16:23:43Z</cp:lastPrinted>
  <dcterms:created xsi:type="dcterms:W3CDTF">2015-06-05T18:19:34Z</dcterms:created>
  <dcterms:modified xsi:type="dcterms:W3CDTF">2025-06-23T20:53:10Z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