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BuÇalışmaKitabı" autoCompressPictures="0" defaultThemeVersion="124226"/>
  <mc:AlternateContent xmlns:mc="http://schemas.openxmlformats.org/markup-compatibility/2006">
    <mc:Choice Requires="x15">
      <x15ac:absPath xmlns:x15ac="http://schemas.microsoft.com/office/spreadsheetml/2010/11/ac" url="C:\Users\X\Desktop\"/>
    </mc:Choice>
  </mc:AlternateContent>
  <xr:revisionPtr revIDLastSave="0" documentId="13_ncr:1_{20CB369E-98C7-4125-8198-219F83B89C69}" xr6:coauthVersionLast="47" xr6:coauthVersionMax="47" xr10:uidLastSave="{00000000-0000-0000-0000-000000000000}"/>
  <workbookProtection workbookAlgorithmName="SHA-512" workbookHashValue="dPt7FZl0nywrguAujyM3vThJmEg3D7tfWB8CBy4PdIRtth3C7igroHHaziqwadSb6OelGTCtn7e6xUtNuSbaDw==" workbookSaltValue="4Y0b1ne5I9/QSsD2GVyXIw=="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8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O62" i="130" l="1"/>
  <c r="AO63" i="130"/>
  <c r="AO64" i="130"/>
  <c r="AO65" i="130"/>
  <c r="AO66" i="130"/>
  <c r="AO67" i="130"/>
  <c r="AO68" i="130"/>
  <c r="AO69" i="130"/>
  <c r="AO70" i="130"/>
  <c r="AO71" i="130"/>
  <c r="AO72" i="130"/>
  <c r="AO73" i="130"/>
  <c r="BI21" i="130" l="1"/>
  <c r="BI22" i="130"/>
  <c r="BI23" i="130"/>
  <c r="BI24" i="130"/>
  <c r="BI25" i="130"/>
  <c r="BI26" i="130"/>
  <c r="BH22" i="130"/>
  <c r="BH23" i="130"/>
  <c r="BH24" i="130"/>
  <c r="BH25" i="130"/>
  <c r="BH26" i="130"/>
  <c r="BH21" i="130"/>
  <c r="BI15" i="130"/>
  <c r="BI16" i="130"/>
  <c r="BI17" i="130"/>
  <c r="BI18" i="130"/>
  <c r="BI19" i="130"/>
  <c r="BI20" i="130"/>
  <c r="BH16" i="130"/>
  <c r="BH17" i="130"/>
  <c r="BH18" i="130"/>
  <c r="BH19" i="130"/>
  <c r="BH20" i="130"/>
  <c r="BH15" i="130"/>
  <c r="AY16" i="130"/>
  <c r="AY17" i="130"/>
  <c r="AY18" i="130"/>
  <c r="AY19" i="130"/>
  <c r="AY20" i="130"/>
  <c r="AY15" i="130"/>
  <c r="AY2" i="130"/>
  <c r="AY3" i="130"/>
  <c r="AY4" i="130"/>
  <c r="AY5" i="130"/>
  <c r="AY6" i="130"/>
  <c r="AY1" i="130"/>
  <c r="AY7" i="130"/>
  <c r="AW16" i="130"/>
  <c r="AW17" i="130"/>
  <c r="AW18" i="130"/>
  <c r="AW19" i="130"/>
  <c r="AW20" i="130"/>
  <c r="AW15" i="130"/>
  <c r="AW21" i="130"/>
  <c r="AW22" i="130"/>
  <c r="AW23" i="130"/>
  <c r="AW24" i="130"/>
  <c r="AW25" i="130"/>
  <c r="AW26" i="130"/>
  <c r="G27" i="130"/>
  <c r="H27" i="130"/>
  <c r="BL20" i="130" l="1"/>
  <c r="BL26" i="130"/>
  <c r="BL21" i="130"/>
  <c r="BL19" i="130"/>
  <c r="BL25" i="130"/>
  <c r="BL15" i="130"/>
  <c r="BL24" i="130"/>
  <c r="BL17" i="130"/>
  <c r="BL23" i="130"/>
  <c r="BL18" i="130"/>
  <c r="BL16" i="130"/>
  <c r="BL22" i="130"/>
  <c r="AW27" i="130"/>
  <c r="AW28" i="130" s="1"/>
  <c r="AO74" i="130"/>
  <c r="AO75" i="130" s="1"/>
  <c r="BL27" i="130" l="1"/>
  <c r="BL28" i="130" s="1"/>
  <c r="AR30" i="130"/>
  <c r="AR31" i="130"/>
  <c r="AR32" i="130"/>
  <c r="AR33" i="130"/>
  <c r="AR34" i="130"/>
  <c r="AR29" i="130"/>
  <c r="AL11" i="130"/>
  <c r="Y2" i="130" l="1"/>
  <c r="BI8" i="130" l="1"/>
  <c r="BI9" i="130"/>
  <c r="BI10" i="130"/>
  <c r="BI11" i="130"/>
  <c r="BI12" i="130"/>
  <c r="BI7" i="130"/>
  <c r="BI2" i="130"/>
  <c r="BI3" i="130"/>
  <c r="BI4" i="130"/>
  <c r="BI5" i="130"/>
  <c r="BI6" i="130"/>
  <c r="BI1" i="130"/>
  <c r="BH8" i="130"/>
  <c r="BH9" i="130"/>
  <c r="BH10" i="130"/>
  <c r="BH11" i="130"/>
  <c r="BH12" i="130"/>
  <c r="BH7" i="130"/>
  <c r="BH2" i="130"/>
  <c r="BH3" i="130"/>
  <c r="BH4" i="130"/>
  <c r="BH5" i="130"/>
  <c r="BH6" i="130"/>
  <c r="BH1" i="130"/>
  <c r="BG8" i="130"/>
  <c r="BG9" i="130"/>
  <c r="BG10" i="130"/>
  <c r="BG11" i="130"/>
  <c r="BG12" i="130"/>
  <c r="BG7" i="130"/>
  <c r="BG2" i="130"/>
  <c r="BG3" i="130"/>
  <c r="BG4" i="130"/>
  <c r="BG5" i="130"/>
  <c r="BG6" i="130"/>
  <c r="BG1" i="130"/>
  <c r="AY22" i="130"/>
  <c r="AY23" i="130"/>
  <c r="AY24" i="130"/>
  <c r="AY25" i="130"/>
  <c r="AY26" i="130"/>
  <c r="AY21" i="130"/>
  <c r="AY12" i="130"/>
  <c r="AY11" i="130"/>
  <c r="AY10" i="130"/>
  <c r="AY9" i="130"/>
  <c r="AY8" i="130"/>
  <c r="AR40" i="130"/>
  <c r="AR39" i="130"/>
  <c r="AR38" i="130"/>
  <c r="AR37" i="130"/>
  <c r="AR36" i="130"/>
  <c r="AR35" i="130"/>
  <c r="AP40" i="130"/>
  <c r="AP39" i="130"/>
  <c r="AP38" i="130"/>
  <c r="AP37" i="130"/>
  <c r="AP36" i="130"/>
  <c r="AP35" i="130"/>
  <c r="AP34" i="130"/>
  <c r="AP33" i="130"/>
  <c r="AP32" i="130"/>
  <c r="AP31" i="130"/>
  <c r="AP30" i="130"/>
  <c r="AP29" i="130"/>
  <c r="AT12" i="130"/>
  <c r="AM59" i="130" s="1"/>
  <c r="AT11" i="130"/>
  <c r="AM58" i="130" s="1"/>
  <c r="AT10" i="130"/>
  <c r="AM57" i="130" s="1"/>
  <c r="AT9" i="130"/>
  <c r="AM56" i="130" s="1"/>
  <c r="AT8" i="130"/>
  <c r="AO55" i="130" s="1"/>
  <c r="AT7" i="130"/>
  <c r="AO54" i="130" s="1"/>
  <c r="AT6" i="130"/>
  <c r="AO53" i="130" s="1"/>
  <c r="AT5" i="130"/>
  <c r="AO52" i="130" s="1"/>
  <c r="AT4" i="130"/>
  <c r="AM51" i="130" s="1"/>
  <c r="AT3" i="130"/>
  <c r="AM50" i="130" s="1"/>
  <c r="AT2" i="130"/>
  <c r="AM49" i="130" s="1"/>
  <c r="AT1" i="130"/>
  <c r="AO48" i="130" s="1"/>
  <c r="AR12" i="130"/>
  <c r="AR11" i="130"/>
  <c r="AR10" i="130"/>
  <c r="AR9" i="130"/>
  <c r="AR8" i="130"/>
  <c r="AR7" i="130"/>
  <c r="AR6" i="130"/>
  <c r="AR5" i="130"/>
  <c r="AR4" i="130"/>
  <c r="AR3" i="130"/>
  <c r="AR2" i="130"/>
  <c r="AR1" i="130"/>
  <c r="AP12" i="130"/>
  <c r="BF26" i="130" s="1"/>
  <c r="AP11" i="130"/>
  <c r="BF25" i="130" s="1"/>
  <c r="AP10" i="130"/>
  <c r="BF24" i="130" s="1"/>
  <c r="AP9" i="130"/>
  <c r="BF23" i="130" s="1"/>
  <c r="AP8" i="130"/>
  <c r="BF22" i="130" s="1"/>
  <c r="AP7" i="130"/>
  <c r="BF21" i="130" s="1"/>
  <c r="AP6" i="130"/>
  <c r="BF20" i="130" s="1"/>
  <c r="AP5" i="130"/>
  <c r="BF19" i="130" s="1"/>
  <c r="AP4" i="130"/>
  <c r="BF18" i="130" s="1"/>
  <c r="AP3" i="130"/>
  <c r="BF17" i="130" s="1"/>
  <c r="AP2" i="130"/>
  <c r="BF16" i="130" s="1"/>
  <c r="AP1" i="130"/>
  <c r="BF15" i="130" s="1"/>
  <c r="B1" i="130"/>
  <c r="AM55" i="130" l="1"/>
  <c r="AM54" i="130"/>
  <c r="AO59" i="130"/>
  <c r="AO58" i="130"/>
  <c r="AO57" i="130"/>
  <c r="AO56" i="130"/>
  <c r="AM53" i="130"/>
  <c r="AM52" i="130"/>
  <c r="AO51" i="130"/>
  <c r="AO50" i="130"/>
  <c r="AO49" i="130"/>
  <c r="AM48" i="130"/>
  <c r="AZ54" i="130"/>
  <c r="AY40" i="130"/>
  <c r="AZ53" i="130"/>
  <c r="AY39" i="130"/>
  <c r="AZ52" i="130"/>
  <c r="AY38" i="130"/>
  <c r="AZ51" i="130"/>
  <c r="AY37" i="130"/>
  <c r="AZ50" i="130"/>
  <c r="AY36" i="130"/>
  <c r="AZ49" i="130"/>
  <c r="AY35" i="130"/>
  <c r="AZ48" i="130"/>
  <c r="AY34" i="130"/>
  <c r="AZ47" i="130"/>
  <c r="AY33" i="130"/>
  <c r="AZ46" i="130"/>
  <c r="AY32" i="130"/>
  <c r="AZ45" i="130"/>
  <c r="AY31" i="130"/>
  <c r="AZ44" i="130"/>
  <c r="AY30" i="130"/>
  <c r="AZ43" i="130"/>
  <c r="AY29" i="130"/>
  <c r="AY41" i="130" l="1"/>
  <c r="AY42" i="130" s="1"/>
  <c r="J27" i="130" l="1"/>
  <c r="AY27" i="130" l="1"/>
  <c r="AY28" i="130" s="1"/>
  <c r="AL32" i="130" l="1"/>
  <c r="AL31" i="130" s="1"/>
  <c r="AO32" i="130"/>
  <c r="AM24" i="130"/>
  <c r="AL23" i="130"/>
  <c r="AL22" i="130"/>
  <c r="AL21" i="130"/>
  <c r="AL20" i="130"/>
  <c r="AL17" i="130"/>
  <c r="AL15" i="130"/>
  <c r="AL16" i="130" s="1"/>
  <c r="AL14" i="130"/>
  <c r="AL4" i="130"/>
  <c r="AL3" i="130"/>
  <c r="AL2" i="130"/>
  <c r="BN29" i="130"/>
  <c r="BM29" i="130"/>
  <c r="BJ15" i="130" l="1"/>
  <c r="BJ24" i="130"/>
  <c r="AO3" i="130"/>
  <c r="AO22" i="130"/>
  <c r="AN16" i="130"/>
  <c r="AN23" i="130"/>
  <c r="AO2" i="130"/>
  <c r="AO23" i="130"/>
  <c r="AO16" i="130"/>
  <c r="AO4" i="130"/>
  <c r="AN4" i="130"/>
  <c r="AL24" i="130"/>
  <c r="AN24" i="130" s="1"/>
  <c r="AN22" i="130"/>
  <c r="AN2" i="130"/>
  <c r="AN14" i="130"/>
  <c r="AO14" i="130"/>
  <c r="AN20" i="130"/>
  <c r="AN31" i="130"/>
  <c r="AN3" i="130"/>
  <c r="AN15" i="130"/>
  <c r="AO20" i="130"/>
  <c r="AO31" i="130"/>
  <c r="AO15" i="130"/>
  <c r="AN21" i="130"/>
  <c r="AN32" i="130"/>
  <c r="AO21" i="130"/>
  <c r="BJ25" i="130"/>
  <c r="BJ26" i="130"/>
  <c r="BJ18" i="130"/>
  <c r="BJ21" i="130"/>
  <c r="BJ16" i="130"/>
  <c r="BJ19" i="130"/>
  <c r="BJ20" i="130"/>
  <c r="BJ23" i="130"/>
  <c r="BJ22" i="130"/>
  <c r="BJ17" i="130"/>
  <c r="AX34" i="130" l="1"/>
  <c r="AX30" i="130"/>
  <c r="AX32" i="130"/>
  <c r="AX29" i="130"/>
  <c r="AX31" i="130"/>
  <c r="AX33" i="130"/>
  <c r="AN5" i="130"/>
  <c r="AV29" i="130"/>
  <c r="AV32" i="130"/>
  <c r="AV34" i="130"/>
  <c r="AV30" i="130"/>
  <c r="AV31" i="130"/>
  <c r="AV33" i="130"/>
  <c r="BA26" i="130"/>
  <c r="BA24" i="130"/>
  <c r="BA22" i="130"/>
  <c r="BA21" i="130"/>
  <c r="BA25" i="130"/>
  <c r="BA23" i="130"/>
  <c r="AX52" i="130"/>
  <c r="AX50" i="130"/>
  <c r="BC7" i="130"/>
  <c r="AX54" i="130"/>
  <c r="BC11" i="130"/>
  <c r="BC9" i="130"/>
  <c r="AX49" i="130"/>
  <c r="BC10" i="130"/>
  <c r="AX53" i="130"/>
  <c r="AX51" i="130"/>
  <c r="BC8" i="130"/>
  <c r="BC12" i="130"/>
  <c r="BC16" i="130"/>
  <c r="BB29" i="130"/>
  <c r="BB32" i="130"/>
  <c r="BB30" i="130"/>
  <c r="BB34" i="130"/>
  <c r="BC19" i="130"/>
  <c r="BC17" i="130"/>
  <c r="BC20" i="130"/>
  <c r="BC15" i="130"/>
  <c r="BB33" i="130"/>
  <c r="BB31" i="130"/>
  <c r="BC18" i="130"/>
  <c r="AN7" i="130"/>
  <c r="BA3" i="130"/>
  <c r="BA5" i="130"/>
  <c r="BA1" i="130"/>
  <c r="BA6" i="130"/>
  <c r="BA4" i="130"/>
  <c r="BA2" i="130"/>
  <c r="AX48" i="130"/>
  <c r="AX43" i="130"/>
  <c r="BC5" i="130"/>
  <c r="AX46" i="130"/>
  <c r="BC3" i="130"/>
  <c r="AX44" i="130"/>
  <c r="BC1" i="130"/>
  <c r="BC4" i="130"/>
  <c r="AX45" i="130"/>
  <c r="BC2" i="130"/>
  <c r="BC6" i="130"/>
  <c r="AX47" i="130"/>
  <c r="AO7" i="130"/>
  <c r="BA11" i="130"/>
  <c r="BA7" i="130"/>
  <c r="BA8" i="130"/>
  <c r="BA9" i="130"/>
  <c r="BA10" i="130"/>
  <c r="BA12" i="130"/>
  <c r="BA18" i="130"/>
  <c r="BA20" i="130"/>
  <c r="BA16" i="130"/>
  <c r="BA19" i="130"/>
  <c r="BA17" i="130"/>
  <c r="BA15" i="130"/>
  <c r="AX36" i="130"/>
  <c r="AX38" i="130"/>
  <c r="AX40" i="130"/>
  <c r="AX35" i="130"/>
  <c r="AX39" i="130"/>
  <c r="AX37" i="130"/>
  <c r="BC26" i="130"/>
  <c r="BB38" i="130"/>
  <c r="BC21" i="130"/>
  <c r="BB40" i="130"/>
  <c r="BC25" i="130"/>
  <c r="BB36" i="130"/>
  <c r="BC23" i="130"/>
  <c r="BB35" i="130"/>
  <c r="BB39" i="130"/>
  <c r="BC24" i="130"/>
  <c r="BB37" i="130"/>
  <c r="BC22" i="130"/>
  <c r="AO5" i="130"/>
  <c r="AV36" i="130"/>
  <c r="AV40" i="130"/>
  <c r="AV38" i="130"/>
  <c r="AV35" i="130"/>
  <c r="AV39" i="130"/>
  <c r="AV37" i="130"/>
  <c r="AO24" i="130"/>
  <c r="AO25" i="130" s="1"/>
  <c r="AO6" i="130"/>
  <c r="AO17" i="130"/>
  <c r="AN25" i="130"/>
  <c r="AN6" i="130"/>
  <c r="AN17" i="130"/>
  <c r="AV2" i="130"/>
  <c r="AV4" i="130"/>
  <c r="AV5" i="130"/>
  <c r="AV6" i="130"/>
  <c r="AV7" i="130"/>
  <c r="AV8" i="130"/>
  <c r="AV9" i="130"/>
  <c r="AV10" i="130"/>
  <c r="AV11" i="130"/>
  <c r="AV12" i="130"/>
  <c r="AV1" i="130"/>
  <c r="BG16" i="130"/>
  <c r="BG17" i="130"/>
  <c r="BG18" i="130"/>
  <c r="BG19" i="130"/>
  <c r="BG20" i="130"/>
  <c r="BG21" i="130"/>
  <c r="BG22" i="130"/>
  <c r="BG23" i="130"/>
  <c r="BG24" i="130"/>
  <c r="BG25" i="130"/>
  <c r="BG26" i="130"/>
  <c r="BG15" i="130"/>
  <c r="BC49" i="130" l="1"/>
  <c r="BC54" i="130"/>
  <c r="BC50" i="130"/>
  <c r="BC51" i="130"/>
  <c r="AN18" i="130"/>
  <c r="AZ33" i="130"/>
  <c r="AZ29" i="130"/>
  <c r="AZ34" i="130"/>
  <c r="AZ32" i="130"/>
  <c r="AZ30" i="130"/>
  <c r="AZ31" i="130"/>
  <c r="BA13" i="130"/>
  <c r="BA14" i="130" s="1"/>
  <c r="BC43" i="130"/>
  <c r="BC13" i="130"/>
  <c r="BC14" i="130" s="1"/>
  <c r="BB41" i="130"/>
  <c r="BB42" i="130" s="1"/>
  <c r="AO18" i="130"/>
  <c r="AZ39" i="130"/>
  <c r="AZ37" i="130"/>
  <c r="AZ38" i="130"/>
  <c r="AZ36" i="130"/>
  <c r="AZ40" i="130"/>
  <c r="AZ35" i="130"/>
  <c r="BD5" i="130"/>
  <c r="AY46" i="130"/>
  <c r="BD3" i="130"/>
  <c r="AY44" i="130"/>
  <c r="BD1" i="130"/>
  <c r="BD6" i="130"/>
  <c r="AY47" i="130"/>
  <c r="BD4" i="130"/>
  <c r="AY45" i="130"/>
  <c r="BD2" i="130"/>
  <c r="AY43" i="130"/>
  <c r="AY48" i="130"/>
  <c r="BC44" i="130"/>
  <c r="AV41" i="130"/>
  <c r="AV42" i="130" s="1"/>
  <c r="BD21" i="130"/>
  <c r="BC38" i="130"/>
  <c r="BC35" i="130"/>
  <c r="BC40" i="130"/>
  <c r="BD25" i="130"/>
  <c r="BC36" i="130"/>
  <c r="BD23" i="130"/>
  <c r="BC39" i="130"/>
  <c r="BD24" i="130"/>
  <c r="BC37" i="130"/>
  <c r="BD22" i="130"/>
  <c r="BD26" i="130"/>
  <c r="BC52" i="130"/>
  <c r="BC45" i="130"/>
  <c r="BC46" i="130"/>
  <c r="BC29" i="130"/>
  <c r="BC34" i="130"/>
  <c r="BC32" i="130"/>
  <c r="BD19" i="130"/>
  <c r="BC30" i="130"/>
  <c r="BC33" i="130"/>
  <c r="BC31" i="130"/>
  <c r="BD17" i="130"/>
  <c r="BD15" i="130"/>
  <c r="BD16" i="130"/>
  <c r="BD20" i="130"/>
  <c r="BD18" i="130"/>
  <c r="AX55" i="130"/>
  <c r="AX56" i="130" s="1"/>
  <c r="BC27" i="130"/>
  <c r="BC28" i="130" s="1"/>
  <c r="AX41" i="130"/>
  <c r="AX42" i="130" s="1"/>
  <c r="BA27" i="130"/>
  <c r="BA28" i="130" s="1"/>
  <c r="AY50" i="130"/>
  <c r="BD7" i="130"/>
  <c r="AY54" i="130"/>
  <c r="BD11" i="130"/>
  <c r="BD9" i="130"/>
  <c r="AY49" i="130"/>
  <c r="AY53" i="130"/>
  <c r="AY51" i="130"/>
  <c r="BD10" i="130"/>
  <c r="BD8" i="130"/>
  <c r="BD12" i="130"/>
  <c r="AY52" i="130"/>
  <c r="BC48" i="130"/>
  <c r="BC53" i="130"/>
  <c r="BC47" i="130"/>
  <c r="AV3" i="130"/>
  <c r="BD48" i="130" l="1"/>
  <c r="BD47" i="130"/>
  <c r="BD53" i="130"/>
  <c r="AZ41" i="130"/>
  <c r="AZ42" i="130" s="1"/>
  <c r="BC41" i="130"/>
  <c r="BC42" i="130" s="1"/>
  <c r="BD52" i="130"/>
  <c r="BD13" i="130"/>
  <c r="BD14" i="130" s="1"/>
  <c r="BD46" i="130"/>
  <c r="BD49" i="130"/>
  <c r="AV50" i="130"/>
  <c r="AV52" i="130"/>
  <c r="AV54" i="130"/>
  <c r="AV49" i="130"/>
  <c r="AV53" i="130"/>
  <c r="AV51" i="130"/>
  <c r="AV44" i="130"/>
  <c r="AV48" i="130"/>
  <c r="BA48" i="130" s="1"/>
  <c r="AV46" i="130"/>
  <c r="AV43" i="130"/>
  <c r="BA43" i="130" s="1"/>
  <c r="AV45" i="130"/>
  <c r="AV47" i="130"/>
  <c r="BD54" i="130"/>
  <c r="BD50" i="130"/>
  <c r="BD27" i="130"/>
  <c r="BD28" i="130" s="1"/>
  <c r="BD43" i="130"/>
  <c r="BD45" i="130"/>
  <c r="BC55" i="130"/>
  <c r="BC56" i="130" s="1"/>
  <c r="AY55" i="130"/>
  <c r="AY56" i="130" s="1"/>
  <c r="BD51" i="130"/>
  <c r="BD44" i="130"/>
  <c r="BD55" i="130" l="1"/>
  <c r="BD56" i="130" s="1"/>
  <c r="BA49" i="130"/>
  <c r="BA51" i="130"/>
  <c r="BA53" i="130"/>
  <c r="BA54" i="130"/>
  <c r="BA44" i="130"/>
  <c r="BA47" i="130"/>
  <c r="BA52" i="130"/>
  <c r="BA45" i="130"/>
  <c r="BA46" i="130"/>
  <c r="AV55" i="130"/>
  <c r="AV56" i="130" s="1"/>
  <c r="BA50" i="130"/>
  <c r="BA55" i="130" l="1"/>
  <c r="BA56" i="130" s="1"/>
  <c r="AL80" i="130"/>
  <c r="AL81" i="130"/>
  <c r="AL82" i="130"/>
  <c r="AL83" i="130"/>
  <c r="AL84" i="130"/>
  <c r="AL85" i="130"/>
  <c r="AL86" i="130"/>
  <c r="AL87" i="130"/>
  <c r="AL88" i="130"/>
  <c r="AL89" i="130"/>
  <c r="AL90" i="130"/>
  <c r="AL79" i="130"/>
  <c r="AJ64" i="130"/>
  <c r="AI64" i="130"/>
  <c r="BN45" i="130"/>
  <c r="BO45" i="130" s="1"/>
  <c r="BN46" i="130"/>
  <c r="BN47" i="130"/>
  <c r="BN48" i="130"/>
  <c r="BO48" i="130" s="1"/>
  <c r="BN49" i="130"/>
  <c r="BO49" i="130" s="1"/>
  <c r="BN50" i="130"/>
  <c r="BN51" i="130"/>
  <c r="BO51" i="130" s="1"/>
  <c r="BN52" i="130"/>
  <c r="BO52" i="130" s="1"/>
  <c r="BN53" i="130"/>
  <c r="BN54" i="130"/>
  <c r="BO54" i="130" s="1"/>
  <c r="BN55" i="130"/>
  <c r="BO55" i="130" s="1"/>
  <c r="BN44" i="130"/>
  <c r="BI27" i="130"/>
  <c r="BI28" i="130" s="1"/>
  <c r="BH27" i="130"/>
  <c r="BH28" i="130" s="1"/>
  <c r="AT13" i="130"/>
  <c r="AT14" i="130" s="1"/>
  <c r="AR13" i="130"/>
  <c r="AR14" i="130" s="1"/>
  <c r="BO46" i="130" l="1"/>
  <c r="BN56" i="130"/>
  <c r="BN57" i="130" s="1"/>
  <c r="BO44" i="130"/>
  <c r="BO53" i="130"/>
  <c r="BO50" i="130"/>
  <c r="BO47" i="130"/>
  <c r="F27" i="130" l="1"/>
  <c r="E27" i="130"/>
  <c r="D27" i="130"/>
  <c r="AX13" i="130"/>
  <c r="BK31" i="130"/>
  <c r="BK32" i="130"/>
  <c r="BK33" i="130"/>
  <c r="BK34" i="130"/>
  <c r="BK35" i="130"/>
  <c r="BK36" i="130"/>
  <c r="BK37" i="130"/>
  <c r="BK38" i="130"/>
  <c r="BK39" i="130"/>
  <c r="BK40" i="130"/>
  <c r="BK41" i="130"/>
  <c r="BK30" i="130"/>
  <c r="BG30" i="130"/>
  <c r="BH30" i="130" s="1"/>
  <c r="BG31" i="130"/>
  <c r="BH31" i="130" s="1"/>
  <c r="BG32" i="130"/>
  <c r="BH32" i="130" s="1"/>
  <c r="BG33" i="130"/>
  <c r="BH33" i="130" s="1"/>
  <c r="BG34" i="130"/>
  <c r="BH34" i="130" s="1"/>
  <c r="BG35" i="130"/>
  <c r="BH35" i="130" s="1"/>
  <c r="BG36" i="130"/>
  <c r="BH36" i="130" s="1"/>
  <c r="BG37" i="130"/>
  <c r="BH37" i="130" s="1"/>
  <c r="BG38" i="130"/>
  <c r="BH38" i="130" s="1"/>
  <c r="BG39" i="130"/>
  <c r="BH39" i="130" s="1"/>
  <c r="BG40" i="130"/>
  <c r="BH40" i="130" s="1"/>
  <c r="BG29" i="130"/>
  <c r="BH29" i="130" s="1"/>
  <c r="BP23" i="130"/>
  <c r="BP25" i="130"/>
  <c r="BP26" i="130"/>
  <c r="BP16" i="130"/>
  <c r="BK2" i="130"/>
  <c r="BJ29" i="130" l="1"/>
  <c r="BI29" i="130"/>
  <c r="BG41" i="130"/>
  <c r="BG42" i="130" s="1"/>
  <c r="BK42" i="130"/>
  <c r="BK43" i="130" s="1"/>
  <c r="BP24" i="130"/>
  <c r="BP22" i="130"/>
  <c r="BP21" i="130"/>
  <c r="BP20" i="130"/>
  <c r="BP19" i="130"/>
  <c r="BP18" i="130"/>
  <c r="BP17" i="130"/>
  <c r="BP15" i="130"/>
  <c r="BK22" i="130"/>
  <c r="BN1" i="130" l="1"/>
  <c r="BJ37" i="130"/>
  <c r="BI37" i="130"/>
  <c r="BN9" i="130" s="1"/>
  <c r="BJ36" i="130"/>
  <c r="BI36" i="130"/>
  <c r="BN8" i="130" s="1"/>
  <c r="BJ39" i="130"/>
  <c r="BI39" i="130"/>
  <c r="BN11" i="130" s="1"/>
  <c r="BJ33" i="130"/>
  <c r="BI33" i="130"/>
  <c r="BN5" i="130" s="1"/>
  <c r="BJ35" i="130"/>
  <c r="BI35" i="130"/>
  <c r="BJ32" i="130"/>
  <c r="BI32" i="130"/>
  <c r="BJ40" i="130"/>
  <c r="BI40" i="130"/>
  <c r="BN12" i="130" s="1"/>
  <c r="BJ34" i="130"/>
  <c r="BI34" i="130"/>
  <c r="BN6" i="130" s="1"/>
  <c r="BJ30" i="130"/>
  <c r="BI30" i="130"/>
  <c r="BN2" i="130" s="1"/>
  <c r="BJ31" i="130"/>
  <c r="BI31" i="130"/>
  <c r="BJ38" i="130"/>
  <c r="BI38" i="130"/>
  <c r="BH41" i="130"/>
  <c r="BH42" i="130" s="1"/>
  <c r="BP27" i="130"/>
  <c r="BP28" i="130" s="1"/>
  <c r="BK25" i="130"/>
  <c r="BK21" i="130"/>
  <c r="BK24" i="130"/>
  <c r="BK23" i="130"/>
  <c r="BK26" i="130"/>
  <c r="BN3" i="130" l="1"/>
  <c r="BN10" i="130"/>
  <c r="BN7" i="130"/>
  <c r="BN4" i="130"/>
  <c r="BH13" i="130"/>
  <c r="BH14" i="130" s="1"/>
  <c r="BN13" i="130" l="1"/>
  <c r="BN14" i="130" s="1"/>
  <c r="BK20" i="130"/>
  <c r="BK19" i="130"/>
  <c r="BK18" i="130"/>
  <c r="BK17" i="130"/>
  <c r="BK16" i="130"/>
  <c r="BK15" i="130"/>
  <c r="BJ27" i="130" l="1"/>
  <c r="BJ28" i="130" s="1"/>
  <c r="BO56" i="130"/>
  <c r="BO57" i="130" s="1"/>
  <c r="BK27" i="130"/>
  <c r="BK28" i="130" s="1"/>
  <c r="BJ41" i="130" l="1"/>
  <c r="BJ42" i="130" s="1"/>
  <c r="BL30" i="130"/>
  <c r="BQ15" i="130"/>
  <c r="BM30" i="130" l="1"/>
  <c r="AQ15" i="130"/>
  <c r="AP16" i="130" s="1"/>
  <c r="AR15" i="130" l="1"/>
  <c r="AN34" i="130" s="1"/>
  <c r="AS15" i="130"/>
  <c r="AT15" i="130" l="1"/>
  <c r="AQ16" i="130"/>
  <c r="AP17" i="130" s="1"/>
  <c r="AR16" i="130" l="1"/>
  <c r="AN35" i="130" s="1"/>
  <c r="AS16" i="130"/>
  <c r="AT16" i="130" l="1"/>
  <c r="AQ17" i="130"/>
  <c r="AP18" i="130" s="1"/>
  <c r="AR17" i="130" l="1"/>
  <c r="AN36" i="130" s="1"/>
  <c r="AS17" i="130"/>
  <c r="AT17" i="130" l="1"/>
  <c r="AQ18" i="130"/>
  <c r="AP19" i="130" s="1"/>
  <c r="AR18" i="130" l="1"/>
  <c r="AN37" i="130" s="1"/>
  <c r="AS18" i="130"/>
  <c r="AT18" i="130" l="1"/>
  <c r="AQ19" i="130"/>
  <c r="AP20" i="130" s="1"/>
  <c r="AR19" i="130" l="1"/>
  <c r="AN38" i="130" s="1"/>
  <c r="AS19" i="130"/>
  <c r="AT19" i="130" l="1"/>
  <c r="AQ20" i="130"/>
  <c r="AP21" i="130" s="1"/>
  <c r="AS20" i="130" l="1"/>
  <c r="AR20" i="130"/>
  <c r="AN39" i="130" s="1"/>
  <c r="AT20" i="130" l="1"/>
  <c r="AQ21" i="130"/>
  <c r="AP22" i="130" s="1"/>
  <c r="AS21" i="130" l="1"/>
  <c r="AR21" i="130"/>
  <c r="AN40" i="130" s="1"/>
  <c r="AT21" i="130" l="1"/>
  <c r="AQ22" i="130"/>
  <c r="AP23" i="130" s="1"/>
  <c r="AR22" i="130" l="1"/>
  <c r="AN41" i="130" s="1"/>
  <c r="AS22" i="130"/>
  <c r="AT22" i="130" l="1"/>
  <c r="AQ23" i="130"/>
  <c r="AP24" i="130" s="1"/>
  <c r="AR23" i="130" l="1"/>
  <c r="AN42" i="130" s="1"/>
  <c r="AS23" i="130"/>
  <c r="AT23" i="130" l="1"/>
  <c r="AQ24" i="130"/>
  <c r="AP25" i="130" s="1"/>
  <c r="AS24" i="130" l="1"/>
  <c r="AR24" i="130"/>
  <c r="AN43" i="130" s="1"/>
  <c r="AT24" i="130" l="1"/>
  <c r="AQ25" i="130"/>
  <c r="AP26" i="130" s="1"/>
  <c r="AS25" i="130" l="1"/>
  <c r="AR25" i="130"/>
  <c r="AN44" i="130" s="1"/>
  <c r="AT25" i="130" l="1"/>
  <c r="AQ26" i="130"/>
  <c r="AR26" i="130" l="1"/>
  <c r="AN45" i="130" s="1"/>
  <c r="AS26" i="130"/>
  <c r="AS27" i="130" s="1"/>
  <c r="AR27" i="130" l="1"/>
  <c r="AT26" i="130"/>
  <c r="AT27" i="130" s="1"/>
  <c r="BK5" i="130" l="1"/>
  <c r="BK4" i="130"/>
  <c r="BK3" i="130"/>
  <c r="BM2" i="130" l="1"/>
  <c r="BM3" i="130" s="1"/>
  <c r="BM4" i="130" s="1"/>
  <c r="BM5" i="130" s="1"/>
  <c r="BL35" i="130" l="1"/>
  <c r="BQ20" i="130"/>
  <c r="BL33" i="130"/>
  <c r="BQ18" i="130"/>
  <c r="BL31" i="130"/>
  <c r="BQ16" i="130"/>
  <c r="BM31" i="130" l="1"/>
  <c r="BN31" i="130" s="1"/>
  <c r="BL32" i="130"/>
  <c r="BQ17" i="130"/>
  <c r="BL34" i="130"/>
  <c r="BQ19" i="130"/>
  <c r="BM33" i="130"/>
  <c r="BN33" i="130" s="1"/>
  <c r="BM35" i="130"/>
  <c r="BN35" i="130" s="1"/>
  <c r="BM34" i="130"/>
  <c r="BN34" i="130" s="1"/>
  <c r="BM32" i="130" l="1"/>
  <c r="BN32" i="130" s="1"/>
  <c r="BL36" i="130"/>
  <c r="BM36" i="130" s="1"/>
  <c r="BN36" i="130" s="1"/>
  <c r="BQ21" i="130"/>
  <c r="BL40" i="130" l="1"/>
  <c r="BQ25" i="130"/>
  <c r="BL38" i="130"/>
  <c r="BQ23" i="130"/>
  <c r="BL39" i="130"/>
  <c r="BQ24" i="130"/>
  <c r="BL37" i="130"/>
  <c r="BQ22" i="130"/>
  <c r="BQ26" i="130"/>
  <c r="BM40" i="130" l="1"/>
  <c r="BN40" i="130" s="1"/>
  <c r="BM39" i="130"/>
  <c r="BN39" i="130" s="1"/>
  <c r="BQ27" i="130"/>
  <c r="BQ28" i="130" s="1"/>
  <c r="BI41" i="130"/>
  <c r="BI42" i="130" s="1"/>
  <c r="BM37" i="130"/>
  <c r="BN37" i="130" s="1"/>
  <c r="BM38" i="130"/>
  <c r="BN38" i="130" s="1"/>
  <c r="BL41" i="130"/>
  <c r="BL42" i="130" l="1"/>
  <c r="BL43" i="130" s="1"/>
  <c r="BM41" i="130"/>
  <c r="BN41" i="130" s="1"/>
  <c r="BO41" i="130" s="1"/>
  <c r="BM26" i="130" s="1"/>
  <c r="BN26" i="130" s="1"/>
  <c r="BN30" i="130"/>
  <c r="BO30" i="130" s="1"/>
  <c r="BM15" i="130" s="1"/>
  <c r="BN15" i="130" s="1"/>
  <c r="BO32" i="130"/>
  <c r="BM17" i="130" s="1"/>
  <c r="BN17" i="130" s="1"/>
  <c r="BO33" i="130"/>
  <c r="BM18" i="130" s="1"/>
  <c r="BN18" i="130" s="1"/>
  <c r="BO34" i="130"/>
  <c r="BM19" i="130" s="1"/>
  <c r="BN19" i="130" s="1"/>
  <c r="BO35" i="130"/>
  <c r="BM20" i="130" s="1"/>
  <c r="BN20" i="130" s="1"/>
  <c r="BO36" i="130"/>
  <c r="BM21" i="130" s="1"/>
  <c r="BN21" i="130" s="1"/>
  <c r="BO37" i="130"/>
  <c r="BM22" i="130" s="1"/>
  <c r="BN22" i="130" s="1"/>
  <c r="BO38" i="130"/>
  <c r="BM23" i="130" s="1"/>
  <c r="BN23" i="130" s="1"/>
  <c r="BO39" i="130"/>
  <c r="BM24" i="130" s="1"/>
  <c r="BN24" i="130" s="1"/>
  <c r="BO40" i="130"/>
  <c r="BM25" i="130" s="1"/>
  <c r="BN25" i="130" s="1"/>
  <c r="AI87" i="130" l="1"/>
  <c r="BO23" i="130"/>
  <c r="AI86" i="130"/>
  <c r="BO22" i="130"/>
  <c r="AI83" i="130"/>
  <c r="BO19" i="130"/>
  <c r="AI88" i="130"/>
  <c r="BO24" i="130"/>
  <c r="AI85" i="130"/>
  <c r="BO21" i="130"/>
  <c r="AI81" i="130"/>
  <c r="BO17" i="130"/>
  <c r="AI79" i="130"/>
  <c r="BO15" i="130"/>
  <c r="AI89" i="130"/>
  <c r="BO25" i="130"/>
  <c r="AI84" i="130"/>
  <c r="BO20" i="130"/>
  <c r="AI82" i="130"/>
  <c r="BO18" i="130"/>
  <c r="AI90" i="130"/>
  <c r="BO26" i="130"/>
  <c r="BO31" i="130"/>
  <c r="BM16" i="130" s="1"/>
  <c r="BN16" i="130" s="1"/>
  <c r="AI80" i="130" l="1"/>
  <c r="AI91" i="130" s="1"/>
  <c r="AI92" i="130" s="1"/>
  <c r="BO16" i="130"/>
  <c r="BN27" i="130" l="1"/>
  <c r="BN28" i="130" s="1"/>
  <c r="AP13" i="130" l="1"/>
  <c r="AP14" i="130" s="1"/>
  <c r="AR41" i="130" l="1"/>
  <c r="AR42" i="130" s="1"/>
  <c r="AO60" i="130"/>
  <c r="AO61" i="130" s="1"/>
  <c r="AM60" i="130"/>
  <c r="AM61" i="130" s="1"/>
  <c r="AV13" i="130"/>
  <c r="AN46" i="130"/>
  <c r="AN47" i="130" s="1"/>
  <c r="AV14" i="130" l="1"/>
  <c r="AP41" i="130" l="1"/>
  <c r="AP42" i="130" s="1"/>
  <c r="AY13" i="130"/>
  <c r="AY14" i="130" s="1"/>
  <c r="BG27" i="130" l="1"/>
  <c r="BG28" i="130" s="1"/>
  <c r="BF27" i="130"/>
  <c r="BF28" i="130" l="1"/>
  <c r="AD14" i="130"/>
  <c r="AC14" i="130" s="1"/>
  <c r="AD6" i="130" l="1"/>
  <c r="AC6" i="130" s="1"/>
  <c r="BG13" i="130" l="1"/>
  <c r="BG14" i="130" s="1"/>
  <c r="BI13" i="130"/>
  <c r="BI14" i="130" l="1"/>
  <c r="AD13" i="130"/>
  <c r="AC13" i="130" s="1"/>
  <c r="AC1" i="130"/>
  <c r="AD1" i="130"/>
  <c r="AQ1" i="130"/>
  <c r="AS1" i="130"/>
  <c r="AU1" i="130"/>
  <c r="AW1" i="130"/>
  <c r="AZ1" i="130"/>
  <c r="BB1" i="130"/>
  <c r="AC2" i="130"/>
  <c r="AD2" i="130"/>
  <c r="AQ2" i="130"/>
  <c r="AS2" i="130"/>
  <c r="AU2" i="130"/>
  <c r="AW2" i="130"/>
  <c r="AZ2" i="130"/>
  <c r="BB2" i="130"/>
  <c r="AC3" i="130"/>
  <c r="AD3" i="130"/>
  <c r="AQ3" i="130"/>
  <c r="AS3" i="130"/>
  <c r="AU3" i="130"/>
  <c r="AW3" i="130"/>
  <c r="AZ3" i="130"/>
  <c r="BB3" i="130"/>
  <c r="AC4" i="130"/>
  <c r="AD4" i="130"/>
  <c r="AQ4" i="130"/>
  <c r="AS4" i="130"/>
  <c r="AU4" i="130"/>
  <c r="AW4" i="130"/>
  <c r="AZ4" i="130"/>
  <c r="BB4" i="130"/>
  <c r="AC5" i="130"/>
  <c r="AD5" i="130"/>
  <c r="AQ5" i="130"/>
  <c r="AS5" i="130"/>
  <c r="AU5" i="130"/>
  <c r="AW5" i="130"/>
  <c r="AZ5" i="130"/>
  <c r="BB5" i="130"/>
  <c r="AQ6" i="130"/>
  <c r="AS6" i="130"/>
  <c r="AU6" i="130"/>
  <c r="AW6" i="130"/>
  <c r="AZ6" i="130"/>
  <c r="BB6" i="130"/>
  <c r="AC7" i="130"/>
  <c r="AD7" i="130"/>
  <c r="AQ7" i="130"/>
  <c r="AS7" i="130"/>
  <c r="AU7" i="130"/>
  <c r="AW7" i="130"/>
  <c r="AZ7" i="130"/>
  <c r="BB7" i="130"/>
  <c r="AC8" i="130"/>
  <c r="AD8" i="130"/>
  <c r="AQ8" i="130"/>
  <c r="AS8" i="130"/>
  <c r="AU8" i="130"/>
  <c r="AW8" i="130"/>
  <c r="AZ8" i="130"/>
  <c r="BB8" i="130"/>
  <c r="AC9" i="130"/>
  <c r="AD9" i="130"/>
  <c r="AQ9" i="130"/>
  <c r="AS9" i="130"/>
  <c r="AU9" i="130"/>
  <c r="AW9" i="130"/>
  <c r="AZ9" i="130"/>
  <c r="BB9" i="130"/>
  <c r="AC10" i="130"/>
  <c r="AD10" i="130"/>
  <c r="AQ10" i="130"/>
  <c r="AS10" i="130"/>
  <c r="AU10" i="130"/>
  <c r="AW10" i="130"/>
  <c r="AZ10" i="130"/>
  <c r="BB10" i="130"/>
  <c r="AC11" i="130"/>
  <c r="AD11" i="130"/>
  <c r="AQ11" i="130"/>
  <c r="AS11" i="130"/>
  <c r="AU11" i="130"/>
  <c r="AW11" i="130"/>
  <c r="AZ11" i="130"/>
  <c r="BB11" i="130"/>
  <c r="AC12" i="130"/>
  <c r="AD12" i="130"/>
  <c r="AQ12" i="130"/>
  <c r="AS12" i="130"/>
  <c r="AU12" i="130"/>
  <c r="AW12" i="130"/>
  <c r="AZ12" i="130"/>
  <c r="BB12" i="130"/>
  <c r="AQ13" i="130"/>
  <c r="AS13" i="130"/>
  <c r="AU13" i="130"/>
  <c r="AW13" i="130"/>
  <c r="AZ13" i="130"/>
  <c r="BB13" i="130"/>
  <c r="AQ14" i="130"/>
  <c r="AS14" i="130"/>
  <c r="AU14" i="130"/>
  <c r="AW14" i="130"/>
  <c r="AZ14" i="130"/>
  <c r="BB14" i="130"/>
  <c r="A15" i="130"/>
  <c r="R15" i="130"/>
  <c r="S15" i="130"/>
  <c r="T15" i="130"/>
  <c r="AC15" i="130"/>
  <c r="AD15" i="130"/>
  <c r="AU15" i="130"/>
  <c r="AV15" i="130"/>
  <c r="AX15" i="130"/>
  <c r="AZ15" i="130"/>
  <c r="BB15" i="130"/>
  <c r="A16" i="130"/>
  <c r="R16" i="130"/>
  <c r="S16" i="130"/>
  <c r="T16" i="130"/>
  <c r="AC16" i="130"/>
  <c r="AD16" i="130"/>
  <c r="AU16" i="130"/>
  <c r="AV16" i="130"/>
  <c r="AX16" i="130"/>
  <c r="AZ16" i="130"/>
  <c r="BB16" i="130"/>
  <c r="A17" i="130"/>
  <c r="R17" i="130"/>
  <c r="S17" i="130"/>
  <c r="T17" i="130"/>
  <c r="AC17" i="130"/>
  <c r="AD17" i="130"/>
  <c r="AU17" i="130"/>
  <c r="AV17" i="130"/>
  <c r="AX17" i="130"/>
  <c r="AZ17" i="130"/>
  <c r="BB17" i="130"/>
  <c r="A18" i="130"/>
  <c r="R18" i="130"/>
  <c r="S18" i="130"/>
  <c r="T18" i="130"/>
  <c r="AC18" i="130"/>
  <c r="AD18" i="130"/>
  <c r="AU18" i="130"/>
  <c r="AV18" i="130"/>
  <c r="AX18" i="130"/>
  <c r="AZ18" i="130"/>
  <c r="BB18" i="130"/>
  <c r="A19" i="130"/>
  <c r="R19" i="130"/>
  <c r="S19" i="130"/>
  <c r="T19" i="130"/>
  <c r="AC19" i="130"/>
  <c r="AD19" i="130"/>
  <c r="AU19" i="130"/>
  <c r="AV19" i="130"/>
  <c r="AX19" i="130"/>
  <c r="AZ19" i="130"/>
  <c r="BB19" i="130"/>
  <c r="A20" i="130"/>
  <c r="R20" i="130"/>
  <c r="S20" i="130"/>
  <c r="T20" i="130"/>
  <c r="AC20" i="130"/>
  <c r="AD20" i="130"/>
  <c r="AU20" i="130"/>
  <c r="AV20" i="130"/>
  <c r="AX20" i="130"/>
  <c r="AZ20" i="130"/>
  <c r="BB20" i="130"/>
  <c r="A21" i="130"/>
  <c r="R21" i="130"/>
  <c r="S21" i="130"/>
  <c r="T21" i="130"/>
  <c r="AC21" i="130"/>
  <c r="AD21" i="130"/>
  <c r="AU21" i="130"/>
  <c r="AV21" i="130"/>
  <c r="AX21" i="130"/>
  <c r="AZ21" i="130"/>
  <c r="BB21" i="130"/>
  <c r="A22" i="130"/>
  <c r="R22" i="130"/>
  <c r="S22" i="130"/>
  <c r="T22" i="130"/>
  <c r="AC22" i="130"/>
  <c r="AD22" i="130"/>
  <c r="AU22" i="130"/>
  <c r="AV22" i="130"/>
  <c r="AX22" i="130"/>
  <c r="AZ22" i="130"/>
  <c r="BB22" i="130"/>
  <c r="A23" i="130"/>
  <c r="R23" i="130"/>
  <c r="S23" i="130"/>
  <c r="T23" i="130"/>
  <c r="AU23" i="130"/>
  <c r="AV23" i="130"/>
  <c r="AX23" i="130"/>
  <c r="AZ23" i="130"/>
  <c r="BB23" i="130"/>
  <c r="A24" i="130"/>
  <c r="R24" i="130"/>
  <c r="S24" i="130"/>
  <c r="T24" i="130"/>
  <c r="AU24" i="130"/>
  <c r="AV24" i="130"/>
  <c r="AX24" i="130"/>
  <c r="AZ24" i="130"/>
  <c r="BB24" i="130"/>
  <c r="A25" i="130"/>
  <c r="R25" i="130"/>
  <c r="S25" i="130"/>
  <c r="T25" i="130"/>
  <c r="AU25" i="130"/>
  <c r="AV25" i="130"/>
  <c r="AX25" i="130"/>
  <c r="AZ25" i="130"/>
  <c r="BB25" i="130"/>
  <c r="A26" i="130"/>
  <c r="R26" i="130"/>
  <c r="S26" i="130"/>
  <c r="T26" i="130"/>
  <c r="AU26" i="130"/>
  <c r="AV26" i="130"/>
  <c r="AX26" i="130"/>
  <c r="AZ26" i="130"/>
  <c r="BB26" i="130"/>
  <c r="R27" i="130"/>
  <c r="S27" i="130"/>
  <c r="T27" i="130"/>
  <c r="AU27" i="130"/>
  <c r="AV27" i="130"/>
  <c r="AX27" i="130"/>
  <c r="AZ27" i="130"/>
  <c r="BB27" i="130"/>
  <c r="R28" i="130"/>
  <c r="S28" i="130"/>
  <c r="T28" i="130"/>
  <c r="AU28" i="130"/>
  <c r="AV28" i="130"/>
  <c r="AX28" i="130"/>
  <c r="AZ28" i="130"/>
  <c r="BB28" i="130"/>
  <c r="AQ29" i="130"/>
  <c r="AS29" i="130"/>
  <c r="AT29" i="130"/>
  <c r="AU29" i="130"/>
  <c r="AW29" i="130"/>
  <c r="BA29" i="130"/>
  <c r="BD29" i="130"/>
  <c r="BE29" i="130"/>
  <c r="BF29" i="130"/>
  <c r="BP29" i="130"/>
  <c r="AQ30" i="130"/>
  <c r="AS30" i="130"/>
  <c r="AT30" i="130"/>
  <c r="AU30" i="130"/>
  <c r="AW30" i="130"/>
  <c r="BA30" i="130"/>
  <c r="BD30" i="130"/>
  <c r="BE30" i="130"/>
  <c r="BF30" i="130"/>
  <c r="BP30" i="130"/>
  <c r="AQ31" i="130"/>
  <c r="AS31" i="130"/>
  <c r="AT31" i="130"/>
  <c r="AU31" i="130"/>
  <c r="AW31" i="130"/>
  <c r="BA31" i="130"/>
  <c r="BD31" i="130"/>
  <c r="BE31" i="130"/>
  <c r="BF31" i="130"/>
  <c r="BP31" i="130"/>
  <c r="AQ32" i="130"/>
  <c r="AS32" i="130"/>
  <c r="AT32" i="130"/>
  <c r="AU32" i="130"/>
  <c r="AW32" i="130"/>
  <c r="BA32" i="130"/>
  <c r="BD32" i="130"/>
  <c r="BE32" i="130"/>
  <c r="BF32" i="130"/>
  <c r="BP32" i="130"/>
  <c r="AQ33" i="130"/>
  <c r="AS33" i="130"/>
  <c r="AT33" i="130"/>
  <c r="AU33" i="130"/>
  <c r="AW33" i="130"/>
  <c r="BA33" i="130"/>
  <c r="BD33" i="130"/>
  <c r="BE33" i="130"/>
  <c r="BF33" i="130"/>
  <c r="BP33" i="130"/>
  <c r="AH34" i="130"/>
  <c r="AI34" i="130"/>
  <c r="AJ34" i="130"/>
  <c r="AK34" i="130"/>
  <c r="AL34" i="130"/>
  <c r="AM34" i="130"/>
  <c r="AO34" i="130"/>
  <c r="AQ34" i="130"/>
  <c r="AS34" i="130"/>
  <c r="AT34" i="130"/>
  <c r="AU34" i="130"/>
  <c r="AW34" i="130"/>
  <c r="BA34" i="130"/>
  <c r="BD34" i="130"/>
  <c r="BE34" i="130"/>
  <c r="BF34" i="130"/>
  <c r="BP34" i="130"/>
  <c r="AH35" i="130"/>
  <c r="AI35" i="130"/>
  <c r="AJ35" i="130"/>
  <c r="AK35" i="130"/>
  <c r="AL35" i="130"/>
  <c r="AM35" i="130"/>
  <c r="AO35" i="130"/>
  <c r="AQ35" i="130"/>
  <c r="AS35" i="130"/>
  <c r="AT35" i="130"/>
  <c r="AU35" i="130"/>
  <c r="AW35" i="130"/>
  <c r="BA35" i="130"/>
  <c r="BD35" i="130"/>
  <c r="BE35" i="130"/>
  <c r="BF35" i="130"/>
  <c r="BP35" i="130"/>
  <c r="AH36" i="130"/>
  <c r="AI36" i="130"/>
  <c r="AJ36" i="130"/>
  <c r="AK36" i="130"/>
  <c r="AL36" i="130"/>
  <c r="AM36" i="130"/>
  <c r="AO36" i="130"/>
  <c r="AQ36" i="130"/>
  <c r="AS36" i="130"/>
  <c r="AT36" i="130"/>
  <c r="AU36" i="130"/>
  <c r="AW36" i="130"/>
  <c r="BA36" i="130"/>
  <c r="BD36" i="130"/>
  <c r="BE36" i="130"/>
  <c r="BF36" i="130"/>
  <c r="BP36" i="130"/>
  <c r="AH37" i="130"/>
  <c r="AI37" i="130"/>
  <c r="AJ37" i="130"/>
  <c r="AK37" i="130"/>
  <c r="AL37" i="130"/>
  <c r="AM37" i="130"/>
  <c r="AO37" i="130"/>
  <c r="AQ37" i="130"/>
  <c r="AS37" i="130"/>
  <c r="AT37" i="130"/>
  <c r="AU37" i="130"/>
  <c r="AW37" i="130"/>
  <c r="BA37" i="130"/>
  <c r="BD37" i="130"/>
  <c r="BE37" i="130"/>
  <c r="BF37" i="130"/>
  <c r="BP37" i="130"/>
  <c r="AH38" i="130"/>
  <c r="AI38" i="130"/>
  <c r="AJ38" i="130"/>
  <c r="AK38" i="130"/>
  <c r="AL38" i="130"/>
  <c r="AM38" i="130"/>
  <c r="AO38" i="130"/>
  <c r="AQ38" i="130"/>
  <c r="AS38" i="130"/>
  <c r="AT38" i="130"/>
  <c r="AU38" i="130"/>
  <c r="AW38" i="130"/>
  <c r="BA38" i="130"/>
  <c r="BD38" i="130"/>
  <c r="BE38" i="130"/>
  <c r="BF38" i="130"/>
  <c r="BP38" i="130"/>
  <c r="AH39" i="130"/>
  <c r="AI39" i="130"/>
  <c r="AJ39" i="130"/>
  <c r="AK39" i="130"/>
  <c r="AL39" i="130"/>
  <c r="AM39" i="130"/>
  <c r="AO39" i="130"/>
  <c r="AQ39" i="130"/>
  <c r="AS39" i="130"/>
  <c r="AT39" i="130"/>
  <c r="AU39" i="130"/>
  <c r="AW39" i="130"/>
  <c r="BA39" i="130"/>
  <c r="BD39" i="130"/>
  <c r="BE39" i="130"/>
  <c r="BF39" i="130"/>
  <c r="BP39" i="130"/>
  <c r="AH40" i="130"/>
  <c r="AI40" i="130"/>
  <c r="AJ40" i="130"/>
  <c r="AK40" i="130"/>
  <c r="AL40" i="130"/>
  <c r="AM40" i="130"/>
  <c r="AO40" i="130"/>
  <c r="AQ40" i="130"/>
  <c r="AS40" i="130"/>
  <c r="AT40" i="130"/>
  <c r="AU40" i="130"/>
  <c r="AW40" i="130"/>
  <c r="BA40" i="130"/>
  <c r="BD40" i="130"/>
  <c r="BE40" i="130"/>
  <c r="BF40" i="130"/>
  <c r="BP40" i="130"/>
  <c r="AH41" i="130"/>
  <c r="AI41" i="130"/>
  <c r="AJ41" i="130"/>
  <c r="AK41" i="130"/>
  <c r="AL41" i="130"/>
  <c r="AM41" i="130"/>
  <c r="AO41" i="130"/>
  <c r="AQ41" i="130"/>
  <c r="AS41" i="130"/>
  <c r="AT41" i="130"/>
  <c r="AU41" i="130"/>
  <c r="AW41" i="130"/>
  <c r="BA41" i="130"/>
  <c r="BD41" i="130"/>
  <c r="BE41" i="130"/>
  <c r="BF41" i="130"/>
  <c r="BP41" i="130"/>
  <c r="AH42" i="130"/>
  <c r="AI42" i="130"/>
  <c r="AJ42" i="130"/>
  <c r="AK42" i="130"/>
  <c r="AL42" i="130"/>
  <c r="AM42" i="130"/>
  <c r="AO42" i="130"/>
  <c r="AQ42" i="130"/>
  <c r="AS42" i="130"/>
  <c r="AT42" i="130"/>
  <c r="AU42" i="130"/>
  <c r="AW42" i="130"/>
  <c r="BA42" i="130"/>
  <c r="BD42" i="130"/>
  <c r="BE42" i="130"/>
  <c r="BF42" i="130"/>
  <c r="BP42" i="130"/>
  <c r="AH43" i="130"/>
  <c r="AI43" i="130"/>
  <c r="AJ43" i="130"/>
  <c r="AK43" i="130"/>
  <c r="AL43" i="130"/>
  <c r="AM43" i="130"/>
  <c r="AO43" i="130"/>
  <c r="AQ43" i="130"/>
  <c r="AR43" i="130"/>
  <c r="AS43" i="130"/>
  <c r="AT43" i="130"/>
  <c r="AU43" i="130"/>
  <c r="AW43" i="130"/>
  <c r="BB43" i="130"/>
  <c r="AH44" i="130"/>
  <c r="AI44" i="130"/>
  <c r="AJ44" i="130"/>
  <c r="AK44" i="130"/>
  <c r="AL44" i="130"/>
  <c r="AM44" i="130"/>
  <c r="AO44" i="130"/>
  <c r="AQ44" i="130"/>
  <c r="AR44" i="130"/>
  <c r="AS44" i="130"/>
  <c r="AT44" i="130"/>
  <c r="AU44" i="130"/>
  <c r="AW44" i="130"/>
  <c r="BB44" i="130"/>
  <c r="BL44" i="130"/>
  <c r="BM44" i="130"/>
  <c r="AH45" i="130"/>
  <c r="AI45" i="130"/>
  <c r="AJ45" i="130"/>
  <c r="AK45" i="130"/>
  <c r="AL45" i="130"/>
  <c r="AM45" i="130"/>
  <c r="AO45" i="130"/>
  <c r="AQ45" i="130"/>
  <c r="AR45" i="130"/>
  <c r="AS45" i="130"/>
  <c r="AT45" i="130"/>
  <c r="AU45" i="130"/>
  <c r="AW45" i="130"/>
  <c r="BB45" i="130"/>
  <c r="BL45" i="130"/>
  <c r="BM45" i="130"/>
  <c r="AH46" i="130"/>
  <c r="AI46" i="130"/>
  <c r="AJ46" i="130"/>
  <c r="AK46" i="130"/>
  <c r="AL46" i="130"/>
  <c r="AM46" i="130"/>
  <c r="AO46" i="130"/>
  <c r="AQ46" i="130"/>
  <c r="AR46" i="130"/>
  <c r="AS46" i="130"/>
  <c r="AT46" i="130"/>
  <c r="AU46" i="130"/>
  <c r="AW46" i="130"/>
  <c r="BB46" i="130"/>
  <c r="BL46" i="130"/>
  <c r="BM46" i="130"/>
  <c r="AH47" i="130"/>
  <c r="AI47" i="130"/>
  <c r="AJ47" i="130"/>
  <c r="AK47" i="130"/>
  <c r="AL47" i="130"/>
  <c r="AM47" i="130"/>
  <c r="AO47" i="130"/>
  <c r="AQ47" i="130"/>
  <c r="AR47" i="130"/>
  <c r="AS47" i="130"/>
  <c r="AT47" i="130"/>
  <c r="AU47" i="130"/>
  <c r="AW47" i="130"/>
  <c r="BB47" i="130"/>
  <c r="BL47" i="130"/>
  <c r="BM47" i="130"/>
  <c r="AH48" i="130"/>
  <c r="AI48" i="130"/>
  <c r="AJ48" i="130"/>
  <c r="AK48" i="130"/>
  <c r="AL48" i="130"/>
  <c r="AN48" i="130"/>
  <c r="AP48" i="130"/>
  <c r="AQ48" i="130"/>
  <c r="AR48" i="130"/>
  <c r="AS48" i="130"/>
  <c r="AT48" i="130"/>
  <c r="AU48" i="130"/>
  <c r="AW48" i="130"/>
  <c r="BB48" i="130"/>
  <c r="BL48" i="130"/>
  <c r="BM48" i="130"/>
  <c r="AH49" i="130"/>
  <c r="AI49" i="130"/>
  <c r="AJ49" i="130"/>
  <c r="AK49" i="130"/>
  <c r="AL49" i="130"/>
  <c r="AN49" i="130"/>
  <c r="AP49" i="130"/>
  <c r="AQ49" i="130"/>
  <c r="AR49" i="130"/>
  <c r="AS49" i="130"/>
  <c r="AT49" i="130"/>
  <c r="AU49" i="130"/>
  <c r="AW49" i="130"/>
  <c r="BB49" i="130"/>
  <c r="BL49" i="130"/>
  <c r="BM49" i="130"/>
  <c r="AH50" i="130"/>
  <c r="AI50" i="130"/>
  <c r="AJ50" i="130"/>
  <c r="AK50" i="130"/>
  <c r="AL50" i="130"/>
  <c r="AN50" i="130"/>
  <c r="AP50" i="130"/>
  <c r="AQ50" i="130"/>
  <c r="AR50" i="130"/>
  <c r="AS50" i="130"/>
  <c r="AT50" i="130"/>
  <c r="AU50" i="130"/>
  <c r="AW50" i="130"/>
  <c r="BB50" i="130"/>
  <c r="BL50" i="130"/>
  <c r="BM50" i="130"/>
  <c r="AH51" i="130"/>
  <c r="AI51" i="130"/>
  <c r="AJ51" i="130"/>
  <c r="AK51" i="130"/>
  <c r="AL51" i="130"/>
  <c r="AN51" i="130"/>
  <c r="AP51" i="130"/>
  <c r="AQ51" i="130"/>
  <c r="AR51" i="130"/>
  <c r="AS51" i="130"/>
  <c r="AT51" i="130"/>
  <c r="AU51" i="130"/>
  <c r="AW51" i="130"/>
  <c r="BB51" i="130"/>
  <c r="BL51" i="130"/>
  <c r="BM51" i="130"/>
  <c r="AH52" i="130"/>
  <c r="AI52" i="130"/>
  <c r="AJ52" i="130"/>
  <c r="AK52" i="130"/>
  <c r="AL52" i="130"/>
  <c r="AN52" i="130"/>
  <c r="AP52" i="130"/>
  <c r="AQ52" i="130"/>
  <c r="AR52" i="130"/>
  <c r="AS52" i="130"/>
  <c r="AT52" i="130"/>
  <c r="AU52" i="130"/>
  <c r="AW52" i="130"/>
  <c r="BB52" i="130"/>
  <c r="BL52" i="130"/>
  <c r="BM52" i="130"/>
  <c r="AH53" i="130"/>
  <c r="AI53" i="130"/>
  <c r="AJ53" i="130"/>
  <c r="AK53" i="130"/>
  <c r="AL53" i="130"/>
  <c r="AN53" i="130"/>
  <c r="AP53" i="130"/>
  <c r="AQ53" i="130"/>
  <c r="AR53" i="130"/>
  <c r="AS53" i="130"/>
  <c r="AT53" i="130"/>
  <c r="AU53" i="130"/>
  <c r="AW53" i="130"/>
  <c r="BB53" i="130"/>
  <c r="BL53" i="130"/>
  <c r="BM53" i="130"/>
  <c r="AH54" i="130"/>
  <c r="AI54" i="130"/>
  <c r="AJ54" i="130"/>
  <c r="AK54" i="130"/>
  <c r="AL54" i="130"/>
  <c r="AN54" i="130"/>
  <c r="AP54" i="130"/>
  <c r="AQ54" i="130"/>
  <c r="AR54" i="130"/>
  <c r="AS54" i="130"/>
  <c r="AT54" i="130"/>
  <c r="AU54" i="130"/>
  <c r="AW54" i="130"/>
  <c r="BB54" i="130"/>
  <c r="BL54" i="130"/>
  <c r="BM54" i="130"/>
  <c r="AH55" i="130"/>
  <c r="AI55" i="130"/>
  <c r="AJ55" i="130"/>
  <c r="AK55" i="130"/>
  <c r="AL55" i="130"/>
  <c r="AN55" i="130"/>
  <c r="AP55" i="130"/>
  <c r="AQ55" i="130"/>
  <c r="AR55" i="130"/>
  <c r="AS55" i="130"/>
  <c r="AT55" i="130"/>
  <c r="AU55" i="130"/>
  <c r="AW55" i="130"/>
  <c r="BB55" i="130"/>
  <c r="BL55" i="130"/>
  <c r="BM55" i="130"/>
  <c r="AH56" i="130"/>
  <c r="AI56" i="130"/>
  <c r="AJ56" i="130"/>
  <c r="AK56" i="130"/>
  <c r="AL56" i="130"/>
  <c r="AN56" i="130"/>
  <c r="AP56" i="130"/>
  <c r="AQ56" i="130"/>
  <c r="AR56" i="130"/>
  <c r="AS56" i="130"/>
  <c r="AT56" i="130"/>
  <c r="AU56" i="130"/>
  <c r="AW56" i="130"/>
  <c r="BB56" i="130"/>
  <c r="BL56" i="130"/>
  <c r="BM56" i="130"/>
  <c r="AH57" i="130"/>
  <c r="AI57" i="130"/>
  <c r="AJ57" i="130"/>
  <c r="AK57" i="130"/>
  <c r="AL57" i="130"/>
  <c r="AN57" i="130"/>
  <c r="AP57" i="130"/>
  <c r="BL57" i="130"/>
  <c r="BM57" i="130"/>
  <c r="AH58" i="130"/>
  <c r="AI58" i="130"/>
  <c r="AJ58" i="130"/>
  <c r="AK58" i="130"/>
  <c r="AL58" i="130"/>
  <c r="AN58" i="130"/>
  <c r="AP58" i="130"/>
  <c r="AH59" i="130"/>
  <c r="AI59" i="130"/>
  <c r="AJ59" i="130"/>
  <c r="AK59" i="130"/>
  <c r="AL59" i="130"/>
  <c r="AN59" i="130"/>
  <c r="AP59" i="130"/>
  <c r="AH60" i="130"/>
  <c r="AI60" i="130"/>
  <c r="AJ60" i="130"/>
  <c r="AK60" i="130"/>
  <c r="AL60" i="130"/>
  <c r="AN60" i="130"/>
  <c r="AP60" i="130"/>
  <c r="AH61" i="130"/>
  <c r="AI61" i="130"/>
  <c r="AJ61" i="130"/>
  <c r="AK61" i="130"/>
  <c r="AL61" i="130"/>
  <c r="AN61" i="130"/>
  <c r="AP61" i="130"/>
  <c r="AN62" i="130"/>
  <c r="AP62" i="130"/>
  <c r="AQ62" i="130"/>
  <c r="AR62" i="130"/>
  <c r="AS62" i="130"/>
  <c r="AN63" i="130"/>
  <c r="AP63" i="130"/>
  <c r="AQ63" i="130"/>
  <c r="AR63" i="130"/>
  <c r="AS63" i="130"/>
  <c r="AN64" i="130"/>
  <c r="AP64" i="130"/>
  <c r="AQ64" i="130"/>
  <c r="AR64" i="130"/>
  <c r="AS64" i="130"/>
  <c r="AH65" i="130"/>
  <c r="AI65" i="130"/>
  <c r="AJ65" i="130"/>
  <c r="AK65" i="130"/>
  <c r="AL65" i="130"/>
  <c r="AM65" i="130"/>
  <c r="AN65" i="130"/>
  <c r="AP65" i="130"/>
  <c r="AQ65" i="130"/>
  <c r="AR65" i="130"/>
  <c r="AS65" i="130"/>
  <c r="AH66" i="130"/>
  <c r="AI66" i="130"/>
  <c r="AJ66" i="130"/>
  <c r="AK66" i="130"/>
  <c r="AL66" i="130"/>
  <c r="AM66" i="130"/>
  <c r="AN66" i="130"/>
  <c r="AP66" i="130"/>
  <c r="AQ66" i="130"/>
  <c r="AR66" i="130"/>
  <c r="AS66" i="130"/>
  <c r="AH67" i="130"/>
  <c r="AI67" i="130"/>
  <c r="AJ67" i="130"/>
  <c r="AK67" i="130"/>
  <c r="AL67" i="130"/>
  <c r="AM67" i="130"/>
  <c r="AN67" i="130"/>
  <c r="AP67" i="130"/>
  <c r="AQ67" i="130"/>
  <c r="AR67" i="130"/>
  <c r="AS67" i="130"/>
  <c r="AH68" i="130"/>
  <c r="AI68" i="130"/>
  <c r="AJ68" i="130"/>
  <c r="AK68" i="130"/>
  <c r="AL68" i="130"/>
  <c r="AM68" i="130"/>
  <c r="AN68" i="130"/>
  <c r="AP68" i="130"/>
  <c r="AQ68" i="130"/>
  <c r="AR68" i="130"/>
  <c r="AS68" i="130"/>
  <c r="AH69" i="130"/>
  <c r="AI69" i="130"/>
  <c r="AJ69" i="130"/>
  <c r="AK69" i="130"/>
  <c r="AL69" i="130"/>
  <c r="AM69" i="130"/>
  <c r="AN69" i="130"/>
  <c r="AP69" i="130"/>
  <c r="AQ69" i="130"/>
  <c r="AR69" i="130"/>
  <c r="AS69" i="130"/>
  <c r="AH70" i="130"/>
  <c r="AI70" i="130"/>
  <c r="AJ70" i="130"/>
  <c r="AK70" i="130"/>
  <c r="AL70" i="130"/>
  <c r="AM70" i="130"/>
  <c r="AN70" i="130"/>
  <c r="AP70" i="130"/>
  <c r="AQ70" i="130"/>
  <c r="AR70" i="130"/>
  <c r="AS70" i="130"/>
  <c r="AH71" i="130"/>
  <c r="AI71" i="130"/>
  <c r="AJ71" i="130"/>
  <c r="AK71" i="130"/>
  <c r="AL71" i="130"/>
  <c r="AM71" i="130"/>
  <c r="AN71" i="130"/>
  <c r="AP71" i="130"/>
  <c r="AQ71" i="130"/>
  <c r="AR71" i="130"/>
  <c r="AS71" i="130"/>
  <c r="AH72" i="130"/>
  <c r="AI72" i="130"/>
  <c r="AJ72" i="130"/>
  <c r="AK72" i="130"/>
  <c r="AL72" i="130"/>
  <c r="AM72" i="130"/>
  <c r="AN72" i="130"/>
  <c r="AP72" i="130"/>
  <c r="AQ72" i="130"/>
  <c r="AR72" i="130"/>
  <c r="AS72" i="130"/>
  <c r="AH73" i="130"/>
  <c r="AI73" i="130"/>
  <c r="AJ73" i="130"/>
  <c r="AK73" i="130"/>
  <c r="AL73" i="130"/>
  <c r="AM73" i="130"/>
  <c r="AN73" i="130"/>
  <c r="AP73" i="130"/>
  <c r="AQ73" i="130"/>
  <c r="AR73" i="130"/>
  <c r="AS73" i="130"/>
  <c r="AH74" i="130"/>
  <c r="AI74" i="130"/>
  <c r="AJ74" i="130"/>
  <c r="AK74" i="130"/>
  <c r="AL74" i="130"/>
  <c r="AM74" i="130"/>
  <c r="AN74" i="130"/>
  <c r="AP74" i="130"/>
  <c r="AQ74" i="130"/>
  <c r="AR74" i="130"/>
  <c r="AS74" i="130"/>
  <c r="AH75" i="130"/>
  <c r="AI75" i="130"/>
  <c r="AJ75" i="130"/>
  <c r="AK75" i="130"/>
  <c r="AL75" i="130"/>
  <c r="AM75" i="130"/>
  <c r="AN75" i="130"/>
  <c r="AP75" i="130"/>
  <c r="AQ75" i="130"/>
  <c r="AR75" i="130"/>
  <c r="AS75" i="130"/>
  <c r="AH76" i="130"/>
  <c r="AI76" i="130"/>
  <c r="AJ76" i="130"/>
  <c r="AK76" i="130"/>
  <c r="AL76" i="130"/>
  <c r="AM76" i="130"/>
  <c r="AH77" i="130"/>
  <c r="AM77" i="130"/>
  <c r="AH78" i="130"/>
  <c r="AM78" i="130"/>
  <c r="AJ79" i="130"/>
  <c r="AK79" i="130"/>
  <c r="AM79" i="130"/>
  <c r="AJ80" i="130"/>
  <c r="AK80" i="130"/>
  <c r="AM80" i="130"/>
  <c r="AJ81" i="130"/>
  <c r="AK81" i="130"/>
  <c r="AM81" i="130"/>
  <c r="AJ82" i="130"/>
  <c r="AK82" i="130"/>
  <c r="AM82" i="130"/>
  <c r="AJ83" i="130"/>
  <c r="AK83" i="130"/>
  <c r="AM83" i="130"/>
  <c r="AJ84" i="130"/>
  <c r="AK84" i="130"/>
  <c r="AM84" i="130"/>
  <c r="AJ85" i="130"/>
  <c r="AK85" i="130"/>
  <c r="AM85" i="130"/>
  <c r="AJ86" i="130"/>
  <c r="AK86" i="130"/>
  <c r="AM86" i="130"/>
  <c r="AJ87" i="130"/>
  <c r="AK87" i="130"/>
  <c r="AM87" i="130"/>
  <c r="AJ88" i="130"/>
  <c r="AK88" i="130"/>
  <c r="AM88" i="130"/>
  <c r="AJ89" i="130"/>
  <c r="AK89" i="130"/>
  <c r="AM89" i="130"/>
  <c r="AJ90" i="130"/>
  <c r="AK90" i="130"/>
  <c r="AM90" i="130"/>
  <c r="AJ91" i="130"/>
  <c r="AJ92" i="130"/>
  <c r="AI93" i="130"/>
  <c r="AJ93" i="130"/>
  <c r="AK93" i="130"/>
  <c r="AL93" i="130"/>
  <c r="AM93" i="130"/>
  <c r="AI94" i="130"/>
  <c r="AJ94" i="130"/>
  <c r="AK94" i="130"/>
  <c r="AL94" i="130"/>
  <c r="AM94" i="130"/>
  <c r="AI95" i="130"/>
  <c r="AJ95" i="130"/>
  <c r="AK95" i="130"/>
  <c r="AL95" i="130"/>
  <c r="AM95" i="130"/>
  <c r="AI96" i="130"/>
  <c r="AJ96" i="130"/>
  <c r="AK96" i="130"/>
  <c r="AL96" i="130"/>
  <c r="AM96" i="130"/>
  <c r="AI97" i="130"/>
  <c r="AJ97" i="130"/>
  <c r="AK97" i="130"/>
  <c r="AL97" i="130"/>
  <c r="AM97" i="130"/>
  <c r="AI98" i="130"/>
  <c r="AJ98" i="130"/>
  <c r="AK98" i="130"/>
  <c r="AL98" i="130"/>
  <c r="AM98" i="130"/>
  <c r="AI99" i="130"/>
  <c r="AJ99" i="130"/>
  <c r="AK99" i="130"/>
  <c r="AL99" i="130"/>
  <c r="AM99" i="130"/>
  <c r="AI100" i="130"/>
  <c r="AJ100" i="130"/>
  <c r="AK100" i="130"/>
  <c r="AL100" i="130"/>
  <c r="AM100" i="130"/>
  <c r="AI101" i="130"/>
  <c r="AJ101" i="130"/>
  <c r="AK101" i="130"/>
  <c r="AL101" i="130"/>
  <c r="AM101" i="130"/>
  <c r="AI102" i="130"/>
  <c r="AJ102" i="130"/>
  <c r="AK102" i="130"/>
  <c r="AL102" i="130"/>
  <c r="AM102" i="130"/>
  <c r="AI103" i="130"/>
  <c r="AJ103" i="130"/>
  <c r="AK103" i="130"/>
  <c r="AL103" i="130"/>
  <c r="AM103" i="130"/>
  <c r="AI104" i="130"/>
  <c r="AJ104" i="130"/>
  <c r="AK104" i="130"/>
  <c r="AL104" i="130"/>
  <c r="AM104" i="130"/>
  <c r="AI105" i="130"/>
  <c r="AJ105" i="130"/>
  <c r="AK105" i="130"/>
  <c r="AL105" i="130"/>
  <c r="AM105" i="130"/>
  <c r="AI106" i="130"/>
  <c r="AJ106" i="130"/>
  <c r="AK106" i="130"/>
  <c r="AL106" i="130"/>
  <c r="AM106" i="130"/>
</calcChain>
</file>

<file path=xl/sharedStrings.xml><?xml version="1.0" encoding="utf-8"?>
<sst xmlns="http://schemas.openxmlformats.org/spreadsheetml/2006/main" count="670" uniqueCount="124">
  <si>
    <t>-</t>
  </si>
  <si>
    <t>Yok</t>
  </si>
  <si>
    <t>Kıdem Yardımı</t>
  </si>
  <si>
    <t>Sayılar</t>
  </si>
  <si>
    <t>Resmi Tatillerde Çalışma</t>
  </si>
  <si>
    <t>SGK Prim Kesintisi</t>
  </si>
  <si>
    <t>SGK İşsizlik Primi Kesintisi</t>
  </si>
  <si>
    <t>Yemek Yardımı</t>
  </si>
  <si>
    <t>Sosyal Yardım</t>
  </si>
  <si>
    <t>Evlilik Yardımı</t>
  </si>
  <si>
    <t>Gece Çalışma</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</si>
  <si>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</si>
  <si>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</si>
  <si>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</si>
  <si>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</si>
  <si>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</si>
  <si>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</si>
  <si>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</si>
  <si>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</si>
  <si>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</si>
  <si>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</si>
  <si>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</si>
  <si>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</si>
  <si>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</si>
  <si>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</si>
  <si>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</si>
  <si>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</si>
  <si>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</si>
  <si>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</si>
  <si>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</si>
  <si>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</si>
  <si>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Ulaşım Yardımı</t>
  </si>
  <si>
    <t>Normal Çalışma</t>
  </si>
  <si>
    <t>BES Kesintisi</t>
  </si>
  <si>
    <t>Damga Vergisi Kesintisi</t>
  </si>
  <si>
    <t>Gelir Vergisi Kesintisi</t>
  </si>
  <si>
    <t>İkramiye Yardımı</t>
  </si>
  <si>
    <t>Nakdi Yardımlar</t>
  </si>
  <si>
    <t>Sendika Üyelik Aidatı Kesintisi</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</si>
  <si>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</si>
  <si>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</si>
  <si>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</si>
  <si>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</si>
  <si>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</si>
  <si>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</si>
  <si>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</si>
  <si>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</si>
  <si>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</si>
  <si>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</si>
  <si>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Fazla Çalışma (Gündüz / Gece)</t>
  </si>
  <si>
    <t>Yıllık Toplam</t>
  </si>
  <si>
    <t>Yıllık Ortalama</t>
  </si>
  <si>
    <t xml:space="preserve">   Kıdem Yardımı</t>
  </si>
  <si>
    <t xml:space="preserve">   Fazla Çalışma
   (Gündüz / Gece)</t>
  </si>
  <si>
    <t xml:space="preserve">   Gece Çalışma</t>
  </si>
  <si>
    <t xml:space="preserve">   Yemek Yardımı</t>
  </si>
  <si>
    <t xml:space="preserve">   Ulaşım Yardımı</t>
  </si>
  <si>
    <t xml:space="preserve">   İkramiye Yardımı</t>
  </si>
  <si>
    <t xml:space="preserve">   Nakdi Yardımlar
   Sürekliliği Olmayan Yardımlar</t>
  </si>
  <si>
    <t>Cenaze Yardımı (Eş-Çocuk)</t>
  </si>
  <si>
    <t>Cenaze Yardımı (İşçi-İş Kazası Sonucu)</t>
  </si>
  <si>
    <t>Cenaze Yardımı (İşçi-Tabii Sebepler Sonucu)</t>
  </si>
  <si>
    <t xml:space="preserve">   Toplam Kazanç
   Net</t>
  </si>
  <si>
    <t>İşveren Maliyeti</t>
  </si>
  <si>
    <r>
      <t xml:space="preserve">   Sonraki Ayın 1'inde
   </t>
    </r>
    <r>
      <rPr>
        <b/>
        <sz val="16"/>
        <rFont val="Calibri"/>
        <family val="2"/>
        <charset val="162"/>
        <scheme val="minor"/>
      </rPr>
      <t>Net</t>
    </r>
  </si>
  <si>
    <r>
      <t xml:space="preserve">   Sonraki Ayın 15'inde
   Fazla Çalışma (Gündüz / Gece)
   Resmi Tatillerde Çalışma
   Gece Çalışma
   Yemek Yardımı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</si>
  <si>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</si>
  <si>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t>Miktar</t>
  </si>
  <si>
    <t>Doğum Yardımı (İşveren)</t>
  </si>
  <si>
    <t xml:space="preserve">   Aile Yardımı
   657 sayılı Kanun / Madde 202
   Eş İçin</t>
  </si>
  <si>
    <t xml:space="preserve">   Aile Yardımı
   657 sayılı Kanun / Madde 202
   Çocuk İçin / 6 Yaş Öncesi</t>
  </si>
  <si>
    <t xml:space="preserve">   Aile Yardımı
   657 sayılı Kanun / Madde 202
   Çocuk İçin / 6 Yaş Sonrası</t>
  </si>
  <si>
    <t xml:space="preserve">   Aile Yardımı
   657 sayılı Kanun / Madde 202
   Engelli Çocuk İçin / 6 Yaş Öncesi</t>
  </si>
  <si>
    <t xml:space="preserve">   Aile Yardımı
   657 sayılı Kanun / Madde 202
   Engelli Çocuk İçin / 6 Yaş Sonrası</t>
  </si>
  <si>
    <t>Aile Yardımı (Eş İçin)</t>
  </si>
  <si>
    <t>Aile Yardımı (Çocuk İçin)</t>
  </si>
  <si>
    <t>2011-Öncesi-Römorkör Kaptanı-Nezaretçi</t>
  </si>
  <si>
    <t>2011-Öncesi-Baş Makinist-Nezaretçi</t>
  </si>
  <si>
    <t>2011-Öncesi-Liman Kaptanı-Nezaretçi</t>
  </si>
  <si>
    <t>2011-Öncesi-Gemici-Usta</t>
  </si>
  <si>
    <t>2011-Öncesi-Gemici-Uzman</t>
  </si>
  <si>
    <t>2011-Öncesi-Yağcı-Usta</t>
  </si>
  <si>
    <t>2011-Öncesi-Yağcı-Uzman</t>
  </si>
  <si>
    <t>2011-Öncesi-Elektrikçi-Nezaretçi</t>
  </si>
  <si>
    <t>2011-Sonrası-Liman Kaptanı-Nezaretçi</t>
  </si>
  <si>
    <t>2011-Sonrası-Gemici-Usta</t>
  </si>
  <si>
    <t>2011-Sonrası-Gemici-Uzman</t>
  </si>
  <si>
    <t>2012-Sonrası-Römorkör Kaptanı-Nezaretçi</t>
  </si>
  <si>
    <t>2012-Sonrası-Gemici-Usta</t>
  </si>
  <si>
    <t>2012-Sonrası-Gemici-Uzman</t>
  </si>
  <si>
    <t>2012-Sonrası-Yağcı-Usta</t>
  </si>
  <si>
    <t>2012-Sonrası-Yağcı-Uzman</t>
  </si>
  <si>
    <t>2013-Sonrası-Römorkör Kaptanı-Nezaretçi</t>
  </si>
  <si>
    <t>2013-Sonrası-Baş Makinist-Nezaretçi</t>
  </si>
  <si>
    <t>2013-Sonrası-Liman Kaptanı-Nezaretçi</t>
  </si>
  <si>
    <t>2013-Sonrası-Gemici-Usta</t>
  </si>
  <si>
    <t>2013-Sonrası-Gemici-Uzman</t>
  </si>
  <si>
    <t>2013-Sonrası-Yağcı-Usta</t>
  </si>
  <si>
    <t>2013-Sonrası-Yağcı-Uzman</t>
  </si>
  <si>
    <t>2013-Sonrası-Elektrikçi-Nezaretçi</t>
  </si>
  <si>
    <t>2015-Sonrası-Liman Kaptanı-Nezaretçi</t>
  </si>
  <si>
    <t>2015-Sonrası-Elektrikçi-Nezaretçi</t>
  </si>
  <si>
    <t xml:space="preserve">   İş Güçlüğü Primi
   (Her Vardiya)</t>
  </si>
  <si>
    <t>İş Güçlüğü Primi</t>
  </si>
  <si>
    <t>Askerlik İzni</t>
  </si>
  <si>
    <t>a) Muvazzaf askerlik ödevi dışında manevra veya herhangi bir nedenle silah altına alınan işçiler bu yükümlülükleri süresinde en çok 15 gün ücretli izinli sayılırlar.
Bu maddede belirtilen olayların işçilerin doktor raporu ile istirahatlı bulundukları zamana rastlaması halinde ücretleri ödenir. Yıllık izin zamanına rastlaması halinde ise, izinleri yukarıda belirtilen süreler kadar uzatılır.</t>
  </si>
  <si>
    <t>a) İşçinin eşinin veya çocuğunun vefatı hâlinde 5 takvim günü ücretli sosyal izin verilir.
b) İşçinin annesinin, babasının veya kardeşinin vefatı hâlinde 5 takvim günü ücretli sosyal izin verilir.
c) İşçinin eşinin annesinin, babasının vefatı hâlinde 1 takvim günü ücretli sosyal izin verilir.
d) İşçinin amcasının, halasının, dayısının, teyzesinin, dedesinin veya ninesinin vefatı hâlinde 1 takvim günü ücretli sosyal izin verilir.
e) Cenazenin il dışında olması veya il dışına götürülmesi hâlinde işçinin annesinin, babasının, kardeşinin, eşinin veya çocuğunun cenazesi için ilave 1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</si>
  <si>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a) İşçinin ikamet ettiği konutun doğal afet nedeniyle hasara uğraması hâlinde 15 iş günü ücretli sosyal izin verilir.
b) Bakmakla yükümlü olduğu eşi, çocuğu, annesi, babası ve kardeşlerinin yangın, sel, deprem gibi doğal felaketlere uğramaları halinde 6 takvim günü ücretli sosyal izin verilir.</t>
  </si>
  <si>
    <t>a) İşçinin evlenmesi hâlinde 7 takvim günü ücretli sosyal izin verilir.
b) İşçinin çocuğunun evlenmesi hâlinde 2 takvim günü ücretli sosyal izin verilir.
c) İşçinin evliliğinde, evlilik izninin hangi şekilde kullanılacağı işçinin talebi doğrultusunda değerlendirilir.</t>
  </si>
  <si>
    <t>a) Geçerli mazereti nedeniyle ücretsiz izin talebinde bulunan gemi adamlarına işverenin uygun görmesi ile 90 güne kadar ücretsiz mazeret izni verilebilir.
b) Kamu kurum ve kuruluşlarında sürekli işçi kadrolarında çalışan işçilere; bakmaya mecbur olduğu veya işçi refakat etmediği takdirde hayatı tehlikeye girecek anne, baba, eş ve çocukları ile kardeşlerinden birinin ağır kaza geçirmesi veya önemli bir hastalığa tutulmuş olması hallerinde bu hallerin Hekim raporu ile belgelendirilmesi şartıyla istekleri üzerine en çok 6 (altı) aya kadar ücretsiz izin verilebilir. Aynı şartlarda bu süre bir katına kadar uzatılabilir.</t>
  </si>
  <si>
    <t>Refakat İzni</t>
  </si>
  <si>
    <t>Sosyal Güvenlik Kurumunun anlaşmalı / sözleşmeli olduğu sağlık kurum ve kuruluşların raporu ile işyerinin kurulu bulunduğu yer dışındaki hastanelerde muayene ve tedavisi öngörülen eş, çocuk, ana ve babasına refakat etmesine karar verilen işçilere refakat süresince ücretli izin verilir.
İşçinin eşinin Emekli Sandığı Kanununa veya Bağ-Kur Kanunu'na tabi bulunması halinde Devlet Hastanesi Sağlık Kurulunca verilecek refakat raporları için de aynı işlemler yapılacaktır.</t>
  </si>
  <si>
    <t>a) Baştemsilci İzni:
Sendika baştemsilcisine, temsilcilik görevlerinin gerektirdiği faaliyetlerde bulunabilmeleri için aşağıda düzenlenen şekilde ücretli izin verilir.
İşyerinde işçi sayısı 50’ye kadar ise haftalık en fazla 4 saat,
İşyerinde işçi sayısı 51 ile 200 arasında ise haftalık en fazla 6 saat,
İşyerinde işçi sayısı 201 ile 500 arasında ise haftalık en fazla 8 saat ücretli sendikal izin verilir.
Baştemsilci gündüz vardiyasında çalıştırılır. Baştemsilcinin izin süresini işyerinde geçirmesi asıldır. Ancak, sendika merkezi veya bölge temsilciliği işverene yapacağı yazılı veya sonradan yazı ile doğrulamak koşulu ile sözlü çağrısı üzerine bu süreyi çağrı yapılan yerde de geçirebilir.
(18. Dönem Toplu İş Sözleşmesi / Madde 23-A)
b) Temsilci İzinleri:
Sendika işyeri temsilcileri, bu görevlerini yerine getirirken asıl işlerini aksatmamak zorundadırlar. Ancak, sendika temsilcilerine aralarında toplantı yapabilmeleri için aşağıda düzenlenen şekilde ücretli izin verilir.
İşyerinde işçi sayısı 50’ye kadar ise haftalık en fazla 2 saat,
İşyerinde işçi sayısı 51 ile 200 arasında ise haftalık en fazla 3 saat,
İşyerinde işçi sayısı 201 ile 500 arasında ise haftalık en fazla 4 saat ücretli sendikal izin verilir.
(18. Dönem Toplu İş Sözleşmesi / Madde 23-B)
c) Eğitim İzinleri:
Sendika Temsilci ve Görevlilerine Kongre, Konferans, Seminer, Yönetim, Denetim, Disiplin Kurulu, Genel Kurul ve Temsilciler Meclisi gibi toplantılara katılmaları için sendikanın yazılı talebi üzerine aşağıda düzenlenmiş şekline göre ücretli izin verilir.
İşyerinde işçi sayısı 50’ye kadar ise yıllık en fazla 20 gün,
İşyerinde işçi sayısı 51 ile 200 arasında ise yıllık en fazla 30 gün,
İşyerinde işçi sayısı 201 ile 500 arasında ise yıllık en fazla 40 gün ücretli sendikal izin verilir.
Bu izinler her üye için ayrı ayrı olmayıp tüm üyeler içindir. Bir seferde işyeri işçi sayısının % 5’inden fazla sayıda işçinin birden eğitim izni kullanması işverenin onayına tabidir. Genel Kurullar için bu % 5 oranı aranmaz.
(18. Dönem Toplu İş Sözleşmesi / Madde 23-C)
d) Toplu iş sözleşmesi yapmak üzere yetkisi kesinleşen sendika; 
işyerinde işçi sayısı 50’ye kadar ise 1,
51 ile 100 arasında ise en çok 2,
101 ile 500 arasında ise en çok 3,
501 ile 1000 arasında ise en çok 4,
1001 ile 2000 arasında ise en çok 6,
2000’den fazla ise en çok 8 işyeri sendika temsilcisini işyerinde çalışan üyeleri arasından atayarak 15 gün içinde kimliklerini işverene bildirir. Bunlardan biri baş temsilci olarak görevlendirilebilir. Temsilcilerin görevi, sendikanın yetkisi süresince devam eder.
(6356 sayılı Sendikalar ve Toplu İş Sözleşmesi Kanunu / Madde 27)</t>
  </si>
  <si>
    <t>Yurt Dışı İzni</t>
  </si>
  <si>
    <t>a) İşçi sendikası ve bağlı bulunduğu Konfederasyon tarafından dış ülkelerdeki iş ve çalışma hayatı ile ilgili kurs ve seminerlere, konferans ve kongrelere katılmak veya staj yapmak üzere gönderileceklerle, aynı gayelerle işveren sendikası ve Konfederasyonca yurtdışına gönderilecek elemanlara, işverence aşağıdaki kayıt ve şartlarla, işte çalışıyormuş gibi sosyal yardımları ve ücretleri ödenmek suretiyle azami 1 seneye kadar izin verilebilir.
Bu iznin verilebilmesi için;
a) İşçi sendikası veya bağlı bulunduğu Konfederasyon; işveren sendikası veya konfederasyon tarafından, dış ülkelere gönderileceklerin tahmini olarak ne kadar süre için, ne sebeple gönderileceklerinin işverene bildirilmesi,
b) Üç ay ve daha fazla sürecek bu kabil seyahatler için dış ülkelere gideceklerin seyahatte geçen süresinin iki katı hizmet göreceğini kabul ettiğine dair, seyahate çıkmadan evvel taahhütname vermesi ve maddi meblağı ihtiva eden kefaletnameyi müşterek kefillerinin imza etmiş bulunmaları şarttır.
İşçi sendikası veya bağlı bulunduğu Konfederasyon tarafından bu sebeple dış ülkelere gönderilmiş bulunanların yurda dönüşlerinde, işçi sendikasında veya bağlı bulunduğu Konfederasyonda profesyonel olarak görev alanlar hakkında görevde kaldıkları sürece mecburi hizmet hükümleri uygulanmaz.
(18. Dönem Toplu İş Sözleşmesi / Madde 22)</t>
  </si>
  <si>
    <t>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t>
  </si>
  <si>
    <t>a) Gemiadamı, dilerse, işveren veya işveren vekilinden ücretli izne ilişkin olarak 7 güne kadar ücretsiz yol izni de isteyebilir.
(854 sayılı Deniz İş Kanunu / Madde 40)</t>
  </si>
  <si>
    <t xml:space="preserve">   Resmi Tatillerde Çalışma</t>
  </si>
  <si>
    <t xml:space="preserve">   BES Kesintisi</t>
  </si>
  <si>
    <r>
      <t xml:space="preserve">a) Kadın işçilerin </t>
    </r>
    <r>
      <rPr>
        <b/>
        <sz val="16"/>
        <color theme="0"/>
        <rFont val="Calibri"/>
        <family val="2"/>
        <charset val="162"/>
        <scheme val="minor"/>
      </rPr>
      <t>doğumdan önce 8 ve doğumdan sonra 8 hafta</t>
    </r>
    <r>
      <rPr>
        <sz val="16"/>
        <color theme="0"/>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</si>
  <si>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rFont val="Calibri"/>
        <family val="2"/>
        <charset val="162"/>
        <scheme val="minor"/>
      </rPr>
      <t>bir yıl içinde toptan veya bölümler hâlinde 10 güne kadar</t>
    </r>
    <r>
      <rPr>
        <sz val="16"/>
        <color theme="0"/>
        <rFont val="Calibri"/>
        <family val="2"/>
        <charset val="162"/>
        <scheme val="minor"/>
      </rPr>
      <t xml:space="preserve"> ücretli izin verilir.
(4857 sayılı İş Kanunu / Ek Madde 2)</t>
    </r>
  </si>
  <si>
    <r>
      <t xml:space="preserve">a) İşçiye; evlat edinmesi hâlinde </t>
    </r>
    <r>
      <rPr>
        <b/>
        <sz val="16"/>
        <color theme="0"/>
        <rFont val="Calibri"/>
        <family val="2"/>
        <charset val="162"/>
        <scheme val="minor"/>
      </rPr>
      <t>3 gün</t>
    </r>
    <r>
      <rPr>
        <sz val="16"/>
        <color theme="0"/>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</si>
  <si>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rFont val="Calibri"/>
        <family val="2"/>
        <charset val="162"/>
        <scheme val="minor"/>
      </rPr>
      <t>günde 2 saatten az olamaz</t>
    </r>
    <r>
      <rPr>
        <sz val="16"/>
        <color theme="0"/>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</si>
  <si>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rFont val="Calibri"/>
        <family val="2"/>
        <charset val="162"/>
        <scheme val="minor"/>
      </rPr>
      <t>günde toplam 1,5 saat</t>
    </r>
    <r>
      <rPr>
        <sz val="16"/>
        <color theme="0"/>
        <rFont val="Calibri"/>
        <family val="2"/>
        <charset val="162"/>
        <scheme val="minor"/>
      </rPr>
      <t xml:space="preserve"> süt izni verilir.
(4857 sayılı İş Kanunu / Madde 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</si>
</sst>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 &quot;Gün&quot;"/>
    <numFmt numFmtId="167" formatCode="#,##0.00\ &quot;₺&quot;"/>
    <numFmt numFmtId="168" formatCode="0.000000"/>
    <numFmt numFmtId="169" formatCode="%\ 0"/>
    <numFmt numFmtId="170" formatCode="%\ 0.00"/>
    <numFmt numFmtId="172" formatCode="General\ &quot;₺&quot;"/>
    <numFmt numFmtId="173" formatCode="0.0000000"/>
    <numFmt numFmtId="174" formatCode="0\ &quot;Çocuk&quot;"/>
    <numFmt numFmtId="175" formatCode="0.0"/>
  </numFmts>
  <fonts count="13"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b/>
      <sz val="16"/>
      <color rgb="FFFF0000"/>
      <name val="Calibri"/>
      <family val="2"/>
      <charset val="162"/>
      <scheme val="minor"/>
    </font>
    <font>
      <sz val="20"/>
      <name val="Calibri"/>
      <family val="2"/>
      <charset val="162"/>
      <scheme val="minor"/>
    </font>
    <font>
      <sz val="20"/>
      <color rgb="FFFF0000"/>
      <name val="Calibri"/>
      <family val="2"/>
      <charset val="162"/>
      <scheme val="minor"/>
    </font>
    <font>
      <sz val="16"/>
      <color theme="0"/>
      <name val="Calibri"/>
      <family val="2"/>
      <charset val="162"/>
      <scheme val="minor"/>
    </font>
    <font>
      <b/>
      <sz val="16"/>
      <color theme="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76">
    <xf numFmtId="0" fontId="0" fillId="0" borderId="0" xfId="0"/>
    <xf numFmtId="172" fontId="10" fillId="2" borderId="1" xfId="2" applyNumberFormat="1" applyFont="1" applyFill="1" applyBorder="1" applyAlignment="1" applyProtection="1">
      <alignment horizontal="center" vertical="center" textRotation="90" wrapText="1"/>
      <protection hidden="1"/>
    </xf>
    <xf numFmtId="2" fontId="5" fillId="2" borderId="1" xfId="2" applyNumberFormat="1" applyFont="1" applyFill="1" applyBorder="1" applyAlignment="1" applyProtection="1">
      <alignment horizontal="center" textRotation="90" wrapText="1"/>
      <protection hidden="1"/>
    </xf>
    <xf numFmtId="2" fontId="5" fillId="2" borderId="1" xfId="0" applyNumberFormat="1" applyFont="1" applyFill="1" applyBorder="1" applyAlignment="1" applyProtection="1">
      <alignment horizontal="center" textRotation="90" wrapText="1"/>
      <protection hidden="1"/>
    </xf>
    <xf numFmtId="2" fontId="5" fillId="2" borderId="11" xfId="2" applyNumberFormat="1" applyFont="1" applyFill="1" applyBorder="1" applyAlignment="1" applyProtection="1">
      <alignment horizontal="center" textRotation="90" wrapText="1"/>
      <protection hidden="1"/>
    </xf>
    <xf numFmtId="2" fontId="5" fillId="2" borderId="10" xfId="2" applyNumberFormat="1" applyFont="1" applyFill="1" applyBorder="1" applyAlignment="1" applyProtection="1">
      <alignment horizontal="center" textRotation="90" wrapText="1"/>
      <protection hidden="1"/>
    </xf>
    <xf numFmtId="2" fontId="7" fillId="2" borderId="1" xfId="2" applyNumberFormat="1" applyFont="1" applyFill="1" applyBorder="1" applyAlignment="1" applyProtection="1">
      <alignment horizontal="center" textRotation="90" wrapText="1"/>
      <protection hidden="1"/>
    </xf>
    <xf numFmtId="0" fontId="5" fillId="2" borderId="1" xfId="2"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protection hidden="1"/>
    </xf>
    <xf numFmtId="0" fontId="5" fillId="0" borderId="0" xfId="2" applyFont="1" applyFill="1" applyAlignment="1" applyProtection="1">
      <alignment horizontal="center" vertical="center"/>
      <protection hidden="1"/>
    </xf>
    <xf numFmtId="0" fontId="5" fillId="0" borderId="0" xfId="2" applyFont="1" applyAlignment="1" applyProtection="1">
      <alignment horizontal="center" vertical="center"/>
      <protection hidden="1"/>
    </xf>
    <xf numFmtId="2" fontId="5" fillId="2" borderId="12" xfId="2" applyNumberFormat="1" applyFont="1" applyFill="1" applyBorder="1" applyAlignment="1" applyProtection="1">
      <alignment horizontal="center" textRotation="90" wrapText="1"/>
      <protection hidden="1"/>
    </xf>
    <xf numFmtId="0" fontId="5" fillId="2" borderId="8"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left" vertical="center" wrapText="1"/>
      <protection hidden="1"/>
    </xf>
    <xf numFmtId="0" fontId="5" fillId="2" borderId="9" xfId="0" applyFont="1" applyFill="1" applyBorder="1" applyAlignment="1" applyProtection="1">
      <alignment horizontal="center" vertical="center" wrapText="1"/>
      <protection hidden="1"/>
    </xf>
    <xf numFmtId="2" fontId="5" fillId="2" borderId="13" xfId="2" applyNumberFormat="1" applyFont="1" applyFill="1" applyBorder="1" applyAlignment="1" applyProtection="1">
      <alignment horizontal="center" textRotation="90" wrapText="1"/>
      <protection hidden="1"/>
    </xf>
    <xf numFmtId="169" fontId="5" fillId="2" borderId="1" xfId="2" applyNumberFormat="1" applyFont="1" applyFill="1" applyBorder="1" applyAlignment="1" applyProtection="1">
      <alignment horizontal="center" vertical="center"/>
      <protection hidden="1"/>
    </xf>
    <xf numFmtId="2" fontId="6" fillId="2" borderId="1" xfId="0" applyNumberFormat="1" applyFont="1" applyFill="1" applyBorder="1" applyAlignment="1" applyProtection="1">
      <alignment horizontal="center" vertical="center"/>
      <protection hidden="1"/>
    </xf>
    <xf numFmtId="167" fontId="6" fillId="4" borderId="1" xfId="2" applyNumberFormat="1" applyFont="1" applyFill="1" applyBorder="1" applyAlignment="1" applyProtection="1">
      <alignment horizontal="center" vertical="center"/>
      <protection hidden="1"/>
    </xf>
    <xf numFmtId="167" fontId="8" fillId="4" borderId="1" xfId="2" applyNumberFormat="1" applyFont="1" applyFill="1" applyBorder="1" applyAlignment="1" applyProtection="1">
      <alignment horizontal="center" vertical="center"/>
      <protection hidden="1"/>
    </xf>
    <xf numFmtId="2" fontId="6" fillId="2" borderId="1" xfId="2" applyNumberFormat="1" applyFont="1" applyFill="1" applyBorder="1" applyAlignment="1" applyProtection="1">
      <alignment horizontal="right" vertical="center" wrapText="1" indent="1"/>
      <protection hidden="1"/>
    </xf>
    <xf numFmtId="4" fontId="5" fillId="2" borderId="1" xfId="2" applyNumberFormat="1" applyFont="1" applyFill="1" applyBorder="1" applyAlignment="1" applyProtection="1">
      <alignment horizontal="center" vertical="center"/>
      <protection hidden="1"/>
    </xf>
    <xf numFmtId="175" fontId="5" fillId="2" borderId="1" xfId="2" applyNumberFormat="1" applyFont="1" applyFill="1" applyBorder="1" applyAlignment="1" applyProtection="1">
      <alignment horizontal="center" vertical="center"/>
      <protection hidden="1"/>
    </xf>
    <xf numFmtId="1" fontId="5" fillId="2" borderId="1" xfId="2" applyNumberFormat="1" applyFont="1" applyFill="1" applyBorder="1" applyAlignment="1" applyProtection="1">
      <alignment horizontal="center" vertical="center"/>
      <protection hidden="1"/>
    </xf>
    <xf numFmtId="4" fontId="5" fillId="2" borderId="10" xfId="2" applyNumberFormat="1" applyFont="1" applyFill="1" applyBorder="1" applyAlignment="1" applyProtection="1">
      <alignment horizontal="center" vertical="center"/>
      <protection hidden="1"/>
    </xf>
    <xf numFmtId="167" fontId="6" fillId="2" borderId="1" xfId="2" applyNumberFormat="1" applyFont="1" applyFill="1" applyBorder="1" applyAlignment="1" applyProtection="1">
      <alignment horizontal="center" vertical="center"/>
      <protection hidden="1"/>
    </xf>
    <xf numFmtId="167" fontId="8" fillId="2" borderId="1" xfId="2" applyNumberFormat="1"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0" borderId="0" xfId="2" applyFont="1" applyAlignment="1" applyProtection="1">
      <alignment horizontal="right" vertical="center" indent="1"/>
      <protection hidden="1"/>
    </xf>
    <xf numFmtId="0" fontId="11" fillId="0" borderId="0" xfId="2" applyFont="1" applyFill="1" applyBorder="1" applyAlignment="1" applyProtection="1">
      <alignment horizontal="center" vertical="center" wrapText="1"/>
      <protection hidden="1"/>
    </xf>
    <xf numFmtId="167" fontId="11" fillId="0" borderId="0" xfId="2" applyNumberFormat="1" applyFont="1" applyFill="1" applyBorder="1" applyAlignment="1" applyProtection="1">
      <alignment horizontal="center" vertical="center" wrapText="1"/>
      <protection hidden="1"/>
    </xf>
    <xf numFmtId="2" fontId="11" fillId="0" borderId="0" xfId="2" applyNumberFormat="1" applyFont="1" applyFill="1" applyBorder="1" applyAlignment="1" applyProtection="1">
      <alignment horizontal="center" vertical="center"/>
      <protection hidden="1"/>
    </xf>
    <xf numFmtId="2" fontId="11" fillId="0" borderId="0" xfId="2" applyNumberFormat="1" applyFont="1" applyFill="1" applyBorder="1" applyAlignment="1" applyProtection="1">
      <alignment horizontal="center" vertical="center" wrapText="1"/>
      <protection hidden="1"/>
    </xf>
    <xf numFmtId="167" fontId="11" fillId="0" borderId="0" xfId="3" applyNumberFormat="1" applyFont="1" applyFill="1" applyBorder="1" applyAlignment="1" applyProtection="1">
      <alignment horizontal="center" vertical="center" wrapText="1"/>
      <protection hidden="1"/>
    </xf>
    <xf numFmtId="0" fontId="11" fillId="0" borderId="0" xfId="2" applyFont="1" applyFill="1" applyBorder="1" applyAlignment="1" applyProtection="1">
      <alignment horizontal="center" vertical="center"/>
      <protection hidden="1"/>
    </xf>
    <xf numFmtId="167" fontId="11" fillId="0" borderId="0" xfId="2" applyNumberFormat="1" applyFont="1" applyFill="1" applyBorder="1" applyAlignment="1" applyProtection="1">
      <alignment horizontal="center" vertical="center"/>
      <protection hidden="1"/>
    </xf>
    <xf numFmtId="165" fontId="11" fillId="0" borderId="0" xfId="2" applyNumberFormat="1" applyFont="1" applyFill="1" applyBorder="1" applyAlignment="1" applyProtection="1">
      <alignment horizontal="center" vertical="center"/>
      <protection hidden="1"/>
    </xf>
    <xf numFmtId="167" fontId="11" fillId="0" borderId="0" xfId="3" applyNumberFormat="1" applyFont="1" applyFill="1" applyBorder="1" applyAlignment="1" applyProtection="1">
      <alignment horizontal="center" vertical="center"/>
      <protection hidden="1"/>
    </xf>
    <xf numFmtId="170" fontId="11" fillId="0" borderId="0" xfId="4" applyNumberFormat="1" applyFont="1" applyFill="1" applyBorder="1" applyAlignment="1" applyProtection="1">
      <alignment horizontal="center" vertical="center"/>
      <protection hidden="1"/>
    </xf>
    <xf numFmtId="0" fontId="11" fillId="0" borderId="0" xfId="3" applyFont="1" applyFill="1" applyBorder="1" applyAlignment="1" applyProtection="1">
      <alignment horizontal="center" vertical="center"/>
      <protection hidden="1"/>
    </xf>
    <xf numFmtId="2" fontId="11" fillId="0" borderId="0" xfId="3" applyNumberFormat="1" applyFont="1" applyFill="1" applyBorder="1" applyAlignment="1" applyProtection="1">
      <alignment horizontal="center" vertical="center"/>
      <protection hidden="1"/>
    </xf>
    <xf numFmtId="170" fontId="11" fillId="0" borderId="0" xfId="2" applyNumberFormat="1" applyFont="1" applyFill="1" applyBorder="1" applyAlignment="1" applyProtection="1">
      <alignment horizontal="center" vertical="center"/>
      <protection hidden="1"/>
    </xf>
    <xf numFmtId="167" fontId="11" fillId="0" borderId="0" xfId="4" applyNumberFormat="1" applyFont="1" applyFill="1" applyBorder="1" applyAlignment="1" applyProtection="1">
      <alignment horizontal="center" vertical="center"/>
      <protection hidden="1"/>
    </xf>
    <xf numFmtId="4" fontId="11" fillId="0" borderId="0" xfId="2" applyNumberFormat="1" applyFont="1" applyFill="1" applyBorder="1" applyAlignment="1" applyProtection="1">
      <alignment horizontal="center" vertical="center"/>
      <protection hidden="1"/>
    </xf>
    <xf numFmtId="3" fontId="11" fillId="0" borderId="0" xfId="2" applyNumberFormat="1" applyFont="1" applyFill="1" applyBorder="1" applyAlignment="1" applyProtection="1">
      <alignment horizontal="center" vertical="center"/>
      <protection hidden="1"/>
    </xf>
    <xf numFmtId="164" fontId="11" fillId="0" borderId="0" xfId="2" applyNumberFormat="1" applyFont="1" applyFill="1" applyBorder="1" applyAlignment="1" applyProtection="1">
      <alignment horizontal="center" vertical="center"/>
      <protection hidden="1"/>
    </xf>
    <xf numFmtId="164" fontId="11" fillId="0" borderId="0" xfId="0" applyNumberFormat="1" applyFont="1" applyFill="1" applyBorder="1" applyAlignment="1" applyProtection="1">
      <alignment horizontal="center" vertical="center"/>
      <protection hidden="1"/>
    </xf>
    <xf numFmtId="165" fontId="11" fillId="0" borderId="0" xfId="0" applyNumberFormat="1" applyFont="1" applyFill="1" applyBorder="1" applyAlignment="1" applyProtection="1">
      <alignment horizontal="center" vertical="center"/>
      <protection hidden="1"/>
    </xf>
    <xf numFmtId="168" fontId="11" fillId="0" borderId="0" xfId="2" applyNumberFormat="1"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right" vertical="center" wrapText="1" indent="1"/>
      <protection hidden="1"/>
    </xf>
    <xf numFmtId="49" fontId="11" fillId="0" borderId="0" xfId="0" applyNumberFormat="1" applyFont="1" applyFill="1" applyBorder="1" applyAlignment="1" applyProtection="1">
      <alignment horizontal="center" vertical="center" wrapText="1"/>
      <protection hidden="1"/>
    </xf>
    <xf numFmtId="49" fontId="11" fillId="0" borderId="0" xfId="2" applyNumberFormat="1" applyFont="1" applyFill="1" applyBorder="1" applyAlignment="1" applyProtection="1">
      <alignment horizontal="center" vertical="center" wrapText="1"/>
      <protection hidden="1"/>
    </xf>
    <xf numFmtId="173" fontId="11" fillId="0" borderId="0" xfId="2" applyNumberFormat="1" applyFont="1" applyFill="1" applyBorder="1" applyAlignment="1" applyProtection="1">
      <alignment horizontal="center" vertical="center"/>
      <protection hidden="1"/>
    </xf>
    <xf numFmtId="169" fontId="11" fillId="0" borderId="0" xfId="2" applyNumberFormat="1" applyFont="1" applyFill="1" applyBorder="1" applyAlignment="1" applyProtection="1">
      <alignment horizontal="center" vertical="center"/>
      <protection hidden="1"/>
    </xf>
    <xf numFmtId="167" fontId="11" fillId="0" borderId="0" xfId="0" applyNumberFormat="1" applyFont="1" applyFill="1" applyBorder="1" applyAlignment="1" applyProtection="1">
      <alignment horizontal="center" vertical="center"/>
      <protection hidden="1"/>
    </xf>
    <xf numFmtId="2" fontId="11" fillId="0" borderId="0" xfId="2" applyNumberFormat="1" applyFont="1" applyFill="1" applyBorder="1" applyAlignment="1" applyProtection="1">
      <alignment horizontal="right" vertical="center" wrapText="1" indent="1"/>
      <protection hidden="1"/>
    </xf>
    <xf numFmtId="174" fontId="11" fillId="0" borderId="0" xfId="2" applyNumberFormat="1" applyFont="1" applyFill="1" applyBorder="1" applyAlignment="1" applyProtection="1">
      <alignment horizontal="center" vertical="center"/>
      <protection hidden="1"/>
    </xf>
    <xf numFmtId="49" fontId="11" fillId="0" borderId="0" xfId="3" applyNumberFormat="1" applyFont="1" applyFill="1" applyBorder="1" applyAlignment="1" applyProtection="1">
      <alignment horizontal="center" vertical="center"/>
      <protection hidden="1"/>
    </xf>
    <xf numFmtId="0" fontId="11" fillId="0" borderId="0" xfId="2" applyFont="1" applyFill="1" applyBorder="1" applyAlignment="1" applyProtection="1">
      <alignment horizontal="right" vertical="center" indent="1"/>
      <protection hidden="1"/>
    </xf>
    <xf numFmtId="0" fontId="5" fillId="2" borderId="11"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5" fillId="2" borderId="13" xfId="0" applyFont="1" applyFill="1" applyBorder="1" applyAlignment="1" applyProtection="1">
      <alignment horizontal="center" vertical="center" wrapText="1"/>
      <protection hidden="1"/>
    </xf>
    <xf numFmtId="2" fontId="9" fillId="3" borderId="1" xfId="2" applyNumberFormat="1" applyFont="1" applyFill="1" applyBorder="1" applyAlignment="1" applyProtection="1">
      <alignment horizontal="center" vertical="center" textRotation="90" wrapText="1"/>
      <protection locked="0" hidden="1"/>
    </xf>
    <xf numFmtId="1" fontId="5" fillId="3" borderId="1" xfId="2" applyNumberFormat="1" applyFont="1" applyFill="1" applyBorder="1" applyAlignment="1" applyProtection="1">
      <alignment horizontal="center" vertical="center"/>
      <protection locked="0" hidden="1"/>
    </xf>
    <xf numFmtId="175" fontId="5" fillId="3" borderId="1" xfId="3" applyNumberFormat="1" applyFont="1" applyFill="1" applyBorder="1" applyAlignment="1" applyProtection="1">
      <alignment horizontal="center" vertical="center"/>
      <protection locked="0" hidden="1"/>
    </xf>
    <xf numFmtId="2" fontId="5" fillId="3" borderId="10" xfId="2" applyNumberFormat="1" applyFont="1" applyFill="1" applyBorder="1" applyAlignment="1" applyProtection="1">
      <alignment horizontal="center" vertical="center"/>
      <protection locked="0" hidden="1"/>
    </xf>
    <xf numFmtId="2" fontId="5" fillId="5" borderId="1" xfId="2" applyNumberFormat="1" applyFont="1" applyFill="1" applyBorder="1" applyAlignment="1" applyProtection="1">
      <alignment horizontal="center" vertical="center" wrapText="1"/>
      <protection locked="0" hidden="1"/>
    </xf>
    <xf numFmtId="169" fontId="5" fillId="3" borderId="1" xfId="2" applyNumberFormat="1" applyFont="1" applyFill="1" applyBorder="1" applyAlignment="1" applyProtection="1">
      <alignment horizontal="center" vertical="center"/>
      <protection locked="0" hidden="1"/>
    </xf>
    <xf numFmtId="0" fontId="5" fillId="3" borderId="1" xfId="2" applyFont="1" applyFill="1" applyBorder="1" applyAlignment="1" applyProtection="1">
      <alignment horizontal="center" vertical="center" textRotation="90" wrapText="1"/>
      <protection locked="0" hidden="1"/>
    </xf>
    <xf numFmtId="0" fontId="5" fillId="3" borderId="1" xfId="0" applyFont="1" applyFill="1" applyBorder="1" applyAlignment="1" applyProtection="1">
      <alignment horizontal="center" vertical="center" textRotation="90" wrapText="1"/>
      <protection locked="0" hidden="1"/>
    </xf>
  </cellXfs>
  <cellStyles count="6">
    <cellStyle name="Açıklama Metni" xfId="1" builtinId="53" customBuiltin="1"/>
    <cellStyle name="Normal" xfId="0" builtinId="0"/>
    <cellStyle name="Normal 2" xfId="2" xr:uid="{00000000-0005-0000-0000-000003000000}"/>
    <cellStyle name="Normal 2 2" xfId="3" xr:uid="{00000000-0005-0000-0000-000004000000}"/>
    <cellStyle name="Virgül 2" xfId="5" xr:uid="{00000000-0005-0000-0000-000005000000}"/>
    <cellStyle name="Yüzde 2" xfId="4" xr:uid="{00000000-0005-0000-0000-000006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AEEF3"/>
      <color rgb="FFC8E1B4"/>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11"/>
            <c:invertIfNegative val="0"/>
            <c:bubble3D val="0"/>
            <c:spPr>
              <a:solidFill>
                <a:schemeClr val="tx1"/>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chemeClr val="tx1"/>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rgbClr val="C00000"/>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rgbClr val="C00000"/>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rgbClr val="C00000"/>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rgbClr val="C00000"/>
              </a:solidFill>
              <a:ln>
                <a:noFill/>
              </a:ln>
              <a:effectLst/>
            </c:spPr>
            <c:extLst>
              <c:ext xmlns:c16="http://schemas.microsoft.com/office/drawing/2014/chart" uri="{C3380CC4-5D6E-409C-BE32-E72D297353CC}">
                <c16:uniqueId val="{0000002D-15C5-4CF9-A126-8061EA1D968F}"/>
              </c:ext>
            </c:extLst>
          </c:dPt>
          <c:dPt>
            <c:idx val="18"/>
            <c:invertIfNegative val="0"/>
            <c:bubble3D val="0"/>
            <c:spPr>
              <a:solidFill>
                <a:srgbClr val="C00000"/>
              </a:solidFill>
              <a:ln>
                <a:noFill/>
              </a:ln>
              <a:effectLst/>
            </c:spPr>
            <c:extLst>
              <c:ext xmlns:c16="http://schemas.microsoft.com/office/drawing/2014/chart" uri="{C3380CC4-5D6E-409C-BE32-E72D297353CC}">
                <c16:uniqueId val="{00000035-AE78-4387-9110-5162355EA1CE}"/>
              </c:ext>
            </c:extLst>
          </c:dPt>
          <c:dPt>
            <c:idx val="19"/>
            <c:invertIfNegative val="0"/>
            <c:bubble3D val="0"/>
            <c:spPr>
              <a:solidFill>
                <a:schemeClr val="bg1">
                  <a:lumMod val="50000"/>
                </a:schemeClr>
              </a:solidFill>
              <a:ln>
                <a:noFill/>
              </a:ln>
              <a:effectLst/>
            </c:spPr>
            <c:extLst>
              <c:ext xmlns:c16="http://schemas.microsoft.com/office/drawing/2014/chart" uri="{C3380CC4-5D6E-409C-BE32-E72D297353CC}">
                <c16:uniqueId val="{00000036-AE78-4387-9110-5162355EA1CE}"/>
              </c:ext>
            </c:extLst>
          </c:dPt>
          <c:dPt>
            <c:idx val="20"/>
            <c:invertIfNegative val="0"/>
            <c:bubble3D val="0"/>
            <c:spPr>
              <a:solidFill>
                <a:schemeClr val="bg1">
                  <a:lumMod val="50000"/>
                </a:schemeClr>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Tablo'!$AB$1:$AB$20</c:f>
              <c:strCache>
                <c:ptCount val="20"/>
                <c:pt idx="0">
                  <c:v>Normal Çalışma</c:v>
                </c:pt>
                <c:pt idx="1">
                  <c:v>Kıdem Yardımı</c:v>
                </c:pt>
                <c:pt idx="2">
                  <c:v>Fazla Çalışma (Gündüz / Gece)</c:v>
                </c:pt>
                <c:pt idx="3">
                  <c:v>Resmi Tatillerde Çalışma</c:v>
                </c:pt>
                <c:pt idx="4">
                  <c:v>Gece Çalışma</c:v>
                </c:pt>
                <c:pt idx="5">
                  <c:v>Yemek Yardımı</c:v>
                </c:pt>
                <c:pt idx="6">
                  <c:v>Ulaşım Yardımı</c:v>
                </c:pt>
                <c:pt idx="7">
                  <c:v>İkramiye Yardımı</c:v>
                </c:pt>
                <c:pt idx="8">
                  <c:v>Sosyal Yardım</c:v>
                </c:pt>
                <c:pt idx="9">
                  <c:v>İş Güçlüğü Primi</c:v>
                </c:pt>
                <c:pt idx="10">
                  <c:v>Aile Yardımı (Eş İçin)</c:v>
                </c:pt>
                <c:pt idx="11">
                  <c:v>Aile Yardımı (Çocuk İçin)</c:v>
                </c:pt>
                <c:pt idx="12">
                  <c:v>Nakdi Yardımlar</c:v>
                </c:pt>
                <c:pt idx="13">
                  <c:v>Sendika Üyelik Aidatı Kesintisi</c:v>
                </c:pt>
                <c:pt idx="14">
                  <c:v>BES Kesintisi</c:v>
                </c:pt>
                <c:pt idx="15">
                  <c:v>Damga Vergisi Kesintisi</c:v>
                </c:pt>
                <c:pt idx="16">
                  <c:v>SGK Prim Kesintisi</c:v>
                </c:pt>
                <c:pt idx="17">
                  <c:v>SGK İşsizlik Primi Kesintisi</c:v>
                </c:pt>
                <c:pt idx="18">
                  <c:v>Gelir Vergisi Kesintisi</c:v>
                </c:pt>
                <c:pt idx="19">
                  <c:v>İşveren Maliyeti</c:v>
                </c:pt>
              </c:strCache>
            </c:strRef>
          </c:cat>
          <c:val>
            <c:numRef>
              <c:f>'Özet Tablo'!$AC$1:$AC$20</c:f>
              <c:numCache>
                <c:formatCode>#,##0.00\ "₺"</c:formatCode>
                <c:ptCount val="20"/>
                <c:pt idx="0">
                  <c:v>92342.269385348714</c:v>
                </c:pt>
                <c:pt idx="1">
                  <c:v>0</c:v>
                </c:pt>
                <c:pt idx="2">
                  <c:v>0</c:v>
                </c:pt>
                <c:pt idx="3">
                  <c:v>0</c:v>
                </c:pt>
                <c:pt idx="4">
                  <c:v>0</c:v>
                </c:pt>
                <c:pt idx="5">
                  <c:v>24960</c:v>
                </c:pt>
                <c:pt idx="6">
                  <c:v>2304.7829550659189</c:v>
                </c:pt>
                <c:pt idx="7">
                  <c:v>15721.728791999998</c:v>
                </c:pt>
                <c:pt idx="8">
                  <c:v>7580.8470274373449</c:v>
                </c:pt>
                <c:pt idx="9">
                  <c:v>0</c:v>
                </c:pt>
                <c:pt idx="10">
                  <c:v>0</c:v>
                </c:pt>
                <c:pt idx="11">
                  <c:v>0</c:v>
                </c:pt>
                <c:pt idx="12">
                  <c:v>0</c:v>
                </c:pt>
                <c:pt idx="13">
                  <c:v>3694.5215999999996</c:v>
                </c:pt>
                <c:pt idx="14">
                  <c:v>0</c:v>
                </c:pt>
                <c:pt idx="15">
                  <c:v>379.45445999999993</c:v>
                </c:pt>
                <c:pt idx="16">
                  <c:v>23869.127831637874</c:v>
                </c:pt>
                <c:pt idx="17">
                  <c:v>1704.9377022598478</c:v>
                </c:pt>
                <c:pt idx="18">
                  <c:v>7747.9699999999993</c:v>
                </c:pt>
                <c:pt idx="19">
                  <c:v>227303.81431327231</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Tablo'!$AB$21:$AB$22</c:f>
              <c:strCache>
                <c:ptCount val="2"/>
                <c:pt idx="0">
                  <c:v>Kazançlar</c:v>
                </c:pt>
                <c:pt idx="1">
                  <c:v>Kesintiler</c:v>
                </c:pt>
              </c:strCache>
            </c:strRef>
          </c:cat>
          <c:val>
            <c:numRef>
              <c:f>'Özet Tablo'!$AC$21:$AC$22</c:f>
              <c:numCache>
                <c:formatCode>#,##0.00\ "₺"</c:formatCode>
                <c:ptCount val="2"/>
                <c:pt idx="0">
                  <c:v>157714.55863208708</c:v>
                </c:pt>
                <c:pt idx="1">
                  <c:v>37396.011593897652</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21</xdr:col>
      <xdr:colOff>53463</xdr:colOff>
      <xdr:row>0</xdr:row>
      <xdr:rowOff>70921</xdr:rowOff>
    </xdr:from>
    <xdr:to>
      <xdr:col>21</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4966692</xdr:colOff>
      <xdr:row>8</xdr:row>
      <xdr:rowOff>125886</xdr:rowOff>
    </xdr:from>
    <xdr:to>
      <xdr:col>21</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GY363"/>
  <sheetViews>
    <sheetView showGridLines="0" showRowColHeaders="0" tabSelected="1" showWhiteSpace="0" zoomScale="40" zoomScaleNormal="40" zoomScaleSheetLayoutView="40" zoomScalePageLayoutView="55" workbookViewId="0">
      <pane xSplit="2" topLeftCell="C1" activePane="topRight" state="frozen"/>
      <selection pane="topRight" sqref="A1:A14"/>
    </sheetView>
  </sheetViews>
  <sheetFormatPr defaultColWidth="0" defaultRowHeight="0" customHeight="1" zeroHeight="1" x14ac:dyDescent="0.25"/>
  <cols>
    <col min="1" max="17" width="12.7109375" style="13" customWidth="1"/>
    <col min="18" max="20" width="24.7109375" style="13" customWidth="1"/>
    <col min="21" max="21" width="12.7109375" style="12" customWidth="1"/>
    <col min="22" max="22" width="110.7109375" style="13" customWidth="1"/>
    <col min="23" max="23" width="12.7109375" style="12" customWidth="1"/>
    <col min="24" max="24" width="5.7109375" style="12" customWidth="1"/>
    <col min="25" max="25" width="80.7109375" style="12" customWidth="1"/>
    <col min="26" max="26" width="5.7109375" style="12" customWidth="1"/>
    <col min="27" max="27" width="1.7109375" style="12" customWidth="1"/>
    <col min="28" max="30" width="0.140625" style="39" customWidth="1"/>
    <col min="31" max="32" width="20.7109375" style="39" hidden="1"/>
    <col min="33" max="69" width="24.7109375" style="39" hidden="1"/>
    <col min="70" max="206" width="0" style="39" hidden="1"/>
    <col min="207" max="207" width="24.7109375" style="39" hidden="1"/>
    <col min="208" max="16384" width="24.7109375" style="13" hidden="1"/>
  </cols>
  <sheetData>
    <row r="1" spans="1:69" ht="39.950000000000003" customHeight="1" x14ac:dyDescent="0.25">
      <c r="A1" s="68" t="s">
        <v>88</v>
      </c>
      <c r="B1" s="1">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C1" s="2" t="s">
        <v>52</v>
      </c>
      <c r="D1" s="2" t="s">
        <v>53</v>
      </c>
      <c r="E1" s="3" t="s">
        <v>117</v>
      </c>
      <c r="F1" s="3" t="s">
        <v>54</v>
      </c>
      <c r="G1" s="4" t="s">
        <v>55</v>
      </c>
      <c r="H1" s="4" t="s">
        <v>56</v>
      </c>
      <c r="I1" s="3" t="s">
        <v>57</v>
      </c>
      <c r="J1" s="2" t="s">
        <v>102</v>
      </c>
      <c r="K1" s="5" t="s">
        <v>69</v>
      </c>
      <c r="L1" s="2" t="s">
        <v>70</v>
      </c>
      <c r="M1" s="2" t="s">
        <v>71</v>
      </c>
      <c r="N1" s="2" t="s">
        <v>72</v>
      </c>
      <c r="O1" s="2" t="s">
        <v>73</v>
      </c>
      <c r="P1" s="2" t="s">
        <v>58</v>
      </c>
      <c r="Q1" s="2" t="s">
        <v>118</v>
      </c>
      <c r="R1" s="2" t="s">
        <v>64</v>
      </c>
      <c r="S1" s="2" t="s">
        <v>65</v>
      </c>
      <c r="T1" s="6" t="s">
        <v>62</v>
      </c>
      <c r="U1" s="74" t="s">
        <v>50</v>
      </c>
      <c r="V1" s="7"/>
      <c r="W1" s="75" t="s">
        <v>41</v>
      </c>
      <c r="X1" s="8"/>
      <c r="Y1" s="9"/>
      <c r="Z1" s="10"/>
      <c r="AA1" s="65"/>
      <c r="AB1" s="34" t="s">
        <v>32</v>
      </c>
      <c r="AC1" s="35">
        <f t="shared" ref="AC1:AC9" ca="1" si="0">IF(AD1&gt;0,AD1,AD1*-1)</f>
        <v>92342.269385348714</v>
      </c>
      <c r="AD1" s="35">
        <f ca="1">COUNTIF(U1,"Ocak")*(AO34)
+COUNTIF(U1,"Şubat")*(AO35)
+COUNTIF(U1,"Mart")*(AO36)
+COUNTIF(U1,"Nisan")*(AO37)
+COUNTIF(U1,"Mayıs")*(AO38)
+COUNTIF(U1,"Haziran")*(AO39)
+COUNTIF(U1,"Temmuz")*(AO40)
+COUNTIF(U1,"Ağustos")*(AO41)
+COUNTIF(U1,"Eylül")*(AO42)
+COUNTIF(U1,"Ekim")*(AO43)
+COUNTIF(U1,"Kasım")*(AO44)
+COUNTIF(U1,"Aralık")*(AO45)
+COUNTIF(U1,"Yıllık Toplam")*(AO46)
+COUNTIF(U1,"Yıllık Ortalama")*(AO47)</f>
        <v>92342.269385348714</v>
      </c>
      <c r="AE1" s="36" t="s">
        <v>3</v>
      </c>
      <c r="AF1" s="36" t="s">
        <v>3</v>
      </c>
      <c r="AG1" s="36" t="s">
        <v>3</v>
      </c>
      <c r="AH1" s="37" t="s">
        <v>76</v>
      </c>
      <c r="AI1" s="38">
        <v>492.35</v>
      </c>
      <c r="AJ1" s="38">
        <v>492.35</v>
      </c>
      <c r="AP1"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Q1" s="35">
        <f ca="1">(AP1*AM79)</f>
        <v>262.0288132</v>
      </c>
      <c r="AR1"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S1" s="40">
        <f ca="1">(AR1*AM79+BO44/30*-1+AI79/30)</f>
        <v>307.09483719999997</v>
      </c>
      <c r="AT1"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U1" s="40">
        <f ca="1">(AT1*AM79)</f>
        <v>262.0288132</v>
      </c>
      <c r="AV1" s="40">
        <f>(AT1*I15)</f>
        <v>10995.599999999999</v>
      </c>
      <c r="AW1" s="40">
        <f ca="1">(AV1*AM79)</f>
        <v>7860.864395999999</v>
      </c>
      <c r="AX1" s="41">
        <v>30</v>
      </c>
      <c r="AY1" s="40">
        <f>(915.05/30*AX1)</f>
        <v>915.05</v>
      </c>
      <c r="AZ1" s="40">
        <f ca="1">(AY1*AM79)</f>
        <v>654.17839549999997</v>
      </c>
      <c r="BA1" s="40">
        <f>($AN$16*M15)</f>
        <v>0</v>
      </c>
      <c r="BB1" s="40">
        <f ca="1">(BA1+(BA1*0.00759*-1)+((BA1-BC1)*0.14*-1)+((BA1-BC1)*0.01*-1)+(BA1+((BA1-BC1)*0.14*-1)+((BA1-BC1)*0.01*-1))*AL65*-1)</f>
        <v>0</v>
      </c>
      <c r="BC1" s="40">
        <f>($AN$4*M15)</f>
        <v>0</v>
      </c>
      <c r="BD1" s="40">
        <f>($AN$7*M15)</f>
        <v>0</v>
      </c>
      <c r="BE1" s="37" t="s">
        <v>1</v>
      </c>
      <c r="BF1" s="37" t="s">
        <v>1</v>
      </c>
      <c r="BG1" s="42">
        <f>COUNTIF(P15,"Yok")*(0)
+COUNTIF(P15,"Cenaze Yardımı (Eş-Çocuk)")*($AJ$29)
+COUNTIF(P15,"Cenaze Yardımı (İşçi-İş Kazası Sonucu)")*($AJ$30)
+COUNTIF(P15,"Cenaze Yardımı (İşçi-Tabii Sebepler Sonucu)")*($AJ$31)
+COUNTIF(P15,"Doğum Yardımı (İşveren)")*($AJ$32)
+COUNTIF(P15,"Evlilik Yardımı")*($AJ$33)
+COUNTIF(BE1,"Yok")*(0)
+COUNTIF(BE1,"Cenaze Yardımı (Eş-Çocuk)")*($AJ$29)
+COUNTIF(BE1,"Cenaze Yardımı (İşçi-İş Kazası Sonucu)")*($AJ$30)
+COUNTIF(BE1,"Cenaze Yardımı (İşçi-Tabii Sebepler Sonucu)")*($AJ$31)
+COUNTIF(BE1,"Doğum Yardımı (İşveren)")*($AJ$32)
+COUNTIF(BE1,"Evlilik Yardımı")*($AJ$33)
+COUNTIF(BF1,"Yok")*(0)
+COUNTIF(BF1,"Cenaze Yardımı (Eş-Çocuk)")*($AJ$29)
+COUNTIF(BF1,"Cenaze Yardımı (İşçi-İş Kazası Sonucu)")*($AJ$30)
+COUNTIF(BF1,"Cenaze Yardımı (İşçi-Tabii Sebepler Sonucu)")*($AJ$31)
+COUNTIF(BF1,"Doğum Yardımı (İşveren)")*($AJ$32)
+COUNTIF(BF1,"Evlilik Yardımı")*($AJ$33)</f>
        <v>0</v>
      </c>
      <c r="BH1" s="42">
        <f>COUNTIF(P15,"Yok")*(0)
+COUNTIF(P15,"Cenaze Yardımı (Eş-Çocuk)")*($AJ$29)
+COUNTIF(P15,"Cenaze Yardımı (İşçi-İş Kazası Sonucu)")*($AJ$30)
+COUNTIF(P15,"Cenaze Yardımı (İşçi-Tabii Sebepler Sonucu)")*($AJ$31)
+COUNTIF(P15,"Doğum Yardımı (İşveren)")*($AJ$32)
+COUNTIF(P15,"Evlilik Yardımı")*($AJ$33)
+COUNTIF(BE1,"Yok")*(0)
+COUNTIF(BE1,"Cenaze Yardımı (Eş-Çocuk)")*($AJ$29)
+COUNTIF(BE1,"Cenaze Yardımı (İşçi-İş Kazası Sonucu)")*($AJ$30)
+COUNTIF(BE1,"Cenaze Yardımı (İşçi-Tabii Sebepler Sonucu)")*($AJ$31)
+COUNTIF(BE1,"Doğum Yardımı (İşveren)")*($AJ$32)
+COUNTIF(BE1,"Evlilik Yardımı")*($AJ$33)
+COUNTIF(BF1,"Yok")*(0)
+COUNTIF(BF1,"Cenaze Yardımı (Eş-Çocuk)")*($AJ$29)
+COUNTIF(BF1,"Cenaze Yardımı (İşçi-İş Kazası Sonucu)")*($AJ$30)
+COUNTIF(BF1,"Cenaze Yardımı (İşçi-Tabii Sebepler Sonucu)")*($AJ$31)
+COUNTIF(BF1,"Doğum Yardımı (İşveren)")*($AJ$32)
+COUNTIF(BF1,"Evlilik Yardımı")*($AJ$33)</f>
        <v>0</v>
      </c>
      <c r="BI1" s="42">
        <f>COUNTIF(P15,"Yok")*(0)
+COUNTIF(P15,"Cenaze Yardımı (Eş-Çocuk)")*($AJ$29-$AJ$29*0.00759)
+COUNTIF(P15,"Cenaze Yardımı (İşçi-İş Kazası Sonucu)")*($AJ$30-$AJ$30*0.00759)
+COUNTIF(P15,"Cenaze Yardımı (İşçi-Tabii Sebepler Sonucu)")*($AJ$31-$AJ$31*0.00759)
+COUNTIF(P15,"Doğum Yardımı (İşveren)")*($AJ$32-$AJ$32*0.00759)
+COUNTIF(P15,"Evlilik Yardımı")*($AJ$33-$AJ$33*0.00759)
+COUNTIF(BE1,"Yok")*(0)
+COUNTIF(BE1,"Cenaze Yardımı (Eş-Çocuk)")*($AJ$29-$AJ$29*0.00759)
+COUNTIF(BE1,"Cenaze Yardımı (İşçi-İş Kazası Sonucu)")*($AJ$30-$AJ$30*0.00759)
+COUNTIF(BE1,"Cenaze Yardımı (İşçi-Tabii Sebepler Sonucu)")*($AJ$31-$AJ$31*0.00759)
+COUNTIF(BE1,"Doğum Yardımı (İşveren)")*($AJ$32-$AJ$32*0.00759)
+COUNTIF(BE1,"Evlilik Yardımı")*($AJ$33-$AJ$33*0.00759)
+COUNTIF(BF1,"Yok")*(0)
+COUNTIF(BF1,"Cenaze Yardımı (Eş-Çocuk)")*($AJ$29-$AJ$29*0.00759)
+COUNTIF(BF1,"Cenaze Yardımı (İşçi-İş Kazası Sonucu)")*($AJ$30-$AJ$30*0.00759)
+COUNTIF(BF1,"Cenaze Yardımı (İşçi-Tabii Sebepler Sonucu)")*($AJ$31-$AJ$31*0.00759)
+COUNTIF(BF1,"Doğum Yardımı (İşveren)")*($AJ$32-$AJ$32*0.00759)
+COUNTIF(BF1,"Evlilik Yardımı")*($AJ$33-$AJ$33*0.00759)</f>
        <v>0</v>
      </c>
      <c r="BJ1" s="43">
        <v>0.15</v>
      </c>
      <c r="BK1" s="35">
        <v>0</v>
      </c>
      <c r="BL1" s="40">
        <v>70000</v>
      </c>
      <c r="BM1" s="40">
        <v>0</v>
      </c>
      <c r="BN1" s="40">
        <f>(BH15+BI29+BJ29-BK30)</f>
        <v>8506.7999999999993</v>
      </c>
    </row>
    <row r="2" spans="1:69" ht="39.950000000000003" customHeight="1" x14ac:dyDescent="0.25">
      <c r="A2" s="68"/>
      <c r="B2" s="1"/>
      <c r="C2" s="2"/>
      <c r="D2" s="2"/>
      <c r="E2" s="3"/>
      <c r="F2" s="3"/>
      <c r="G2" s="14"/>
      <c r="H2" s="14"/>
      <c r="I2" s="3"/>
      <c r="J2" s="2"/>
      <c r="K2" s="5"/>
      <c r="L2" s="2"/>
      <c r="M2" s="2"/>
      <c r="N2" s="2"/>
      <c r="O2" s="2"/>
      <c r="P2" s="2"/>
      <c r="Q2" s="2"/>
      <c r="R2" s="2"/>
      <c r="S2" s="2"/>
      <c r="T2" s="6"/>
      <c r="U2" s="74"/>
      <c r="V2" s="7"/>
      <c r="W2" s="75"/>
      <c r="X2" s="15"/>
      <c r="Y2" s="16" t="str">
        <f>IF($W$1="Analık Hâli İzni",$AD$23,
IF($W$1="Annelik İzni",$AD$24,
IF($W$1="Askerlik İzni",$AD$25,
IF($W$1="Babalık İzni",$AD$26,
IF($W$1="Cenaze İzni",$AD$27,
IF($W$1="Doğal Afet İzni",$AD$28,
IF($W$1="Engelli Çocuk İzni",$AD$29,
IF($W$1="Evlat Edinme İzni",$AD$30,
IF($W$1="Evlilik İzni",$AD$31,
IF($W$1="İş Arama İzni",$AD$32,
IF($W$1="Mazeret İzni",$AD$33,
IF($W$1="Refakat İzni",$AD$34,
IF($W$1="Süt İzni",$AD$35,
IF($W$1="Ücretli Sendikal İzin ve Sendika Temsilci Sayısı",$AD$36,
IF($W$1="Ücretli Yıllık İzin",$AD$37,
IF($W$1="Yol İzni",$AD$38,
IF($W$1="Yurt Dışı İzni",$AD$39)))))))))))))))))</f>
        <v>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v>
      </c>
      <c r="Z2" s="17"/>
      <c r="AA2" s="66"/>
      <c r="AB2" s="34" t="s">
        <v>2</v>
      </c>
      <c r="AC2" s="35">
        <f t="shared" ca="1" si="0"/>
        <v>0</v>
      </c>
      <c r="AD2" s="35">
        <f ca="1">COUNTIF(U1,"Ocak")*(AQ29)
+COUNTIF(U1,"Şubat")*(AQ30)
+COUNTIF(U1,"Mart")*(AQ31)
+COUNTIF(U1,"Nisan")*(AQ32)
+COUNTIF(U1,"Mayıs")*(AQ33)
+COUNTIF(U1,"Haziran")*(AQ34)
+COUNTIF(U1,"Temmuz")*(AQ35)
+COUNTIF(U1,"Ağustos")*(AQ36)
+COUNTIF(U1,"Eylül")*(AQ37)
+COUNTIF(U1,"Ekim")*(AQ38)
+COUNTIF(U1,"Kasım")*(AQ39)
+COUNTIF(U1,"Aralık")*(AQ40)
+COUNTIF(U1,"Yıllık Toplam")*(AQ41)
+COUNTIF(U1,"Yıllık Ortalama")*(AQ42)</f>
        <v>0</v>
      </c>
      <c r="AE2" s="39">
        <v>0</v>
      </c>
      <c r="AF2" s="44">
        <v>0</v>
      </c>
      <c r="AG2" s="45">
        <v>0</v>
      </c>
      <c r="AH2" s="37" t="s">
        <v>77</v>
      </c>
      <c r="AI2" s="38">
        <v>492.35</v>
      </c>
      <c r="AJ2" s="38">
        <v>492.35</v>
      </c>
      <c r="AL2" s="46">
        <f>(10%)</f>
        <v>0.1</v>
      </c>
      <c r="AM2" s="39" t="s">
        <v>0</v>
      </c>
      <c r="AN2" s="40">
        <f>($AN$8*$AL$2)</f>
        <v>1000.8000000000001</v>
      </c>
      <c r="AO2" s="40">
        <f>($AO$8*$AL$2)</f>
        <v>1000.8000000000001</v>
      </c>
      <c r="AP2"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Q2" s="35">
        <f ca="1">(AP2*AM80)</f>
        <v>262.0288132</v>
      </c>
      <c r="AR2"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S2" s="40">
        <f ca="1">(AR2*AM80+BO45/30*-1+AI80/30)</f>
        <v>307.09483719999997</v>
      </c>
      <c r="AT2"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U2" s="40">
        <f ca="1">(AT2*AM80)</f>
        <v>262.0288132</v>
      </c>
      <c r="AV2" s="40">
        <f>(AT2*I16)</f>
        <v>0</v>
      </c>
      <c r="AW2" s="40">
        <f ca="1">(AV2*AM80)</f>
        <v>0</v>
      </c>
      <c r="AX2" s="41">
        <v>30</v>
      </c>
      <c r="AY2" s="40">
        <f t="shared" ref="AY2:AY6" si="1">(915.05/30*AX2)</f>
        <v>915.05</v>
      </c>
      <c r="AZ2" s="40">
        <f ca="1">(AY2*AM80)</f>
        <v>654.17839549999997</v>
      </c>
      <c r="BA2" s="40">
        <f>($AN$16*M16)</f>
        <v>0</v>
      </c>
      <c r="BB2" s="40">
        <f ca="1">(BA2+(BA2*0.00759*-1)+((BA2-BC2)*0.14*-1)+((BA2-BC2)*0.01*-1)+(BA2+((BA2-BC2)*0.14*-1)+((BA2-BC2)*0.01*-1))*AL66*-1)</f>
        <v>0</v>
      </c>
      <c r="BC2" s="40">
        <f>($AN$4*M16)</f>
        <v>0</v>
      </c>
      <c r="BD2" s="40">
        <f>($AN$7*M16)</f>
        <v>0</v>
      </c>
      <c r="BE2" s="37" t="s">
        <v>1</v>
      </c>
      <c r="BF2" s="37" t="s">
        <v>1</v>
      </c>
      <c r="BG2" s="42">
        <f>COUNTIF(P16,"Yok")*(0)
+COUNTIF(P16,"Cenaze Yardımı (Eş-Çocuk)")*($AJ$29)
+COUNTIF(P16,"Cenaze Yardımı (İşçi-İş Kazası Sonucu)")*($AJ$30)
+COUNTIF(P16,"Cenaze Yardımı (İşçi-Tabii Sebepler Sonucu)")*($AJ$31)
+COUNTIF(P16,"Doğum Yardımı (İşveren)")*($AJ$32)
+COUNTIF(P16,"Evlilik Yardımı")*($AJ$33)
+COUNTIF(BE2,"Yok")*(0)
+COUNTIF(BE2,"Cenaze Yardımı (Eş-Çocuk)")*($AJ$29)
+COUNTIF(BE2,"Cenaze Yardımı (İşçi-İş Kazası Sonucu)")*($AJ$30)
+COUNTIF(BE2,"Cenaze Yardımı (İşçi-Tabii Sebepler Sonucu)")*($AJ$31)
+COUNTIF(BE2,"Doğum Yardımı (İşveren)")*($AJ$32)
+COUNTIF(BE2,"Evlilik Yardımı")*($AJ$33)
+COUNTIF(BF2,"Yok")*(0)
+COUNTIF(BF2,"Cenaze Yardımı (Eş-Çocuk)")*($AJ$29)
+COUNTIF(BF2,"Cenaze Yardımı (İşçi-İş Kazası Sonucu)")*($AJ$30)
+COUNTIF(BF2,"Cenaze Yardımı (İşçi-Tabii Sebepler Sonucu)")*($AJ$31)
+COUNTIF(BF2,"Doğum Yardımı (İşveren)")*($AJ$32)
+COUNTIF(BF2,"Evlilik Yardımı")*($AJ$33)</f>
        <v>0</v>
      </c>
      <c r="BH2" s="42">
        <f>COUNTIF(P16,"Yok")*(0)
+COUNTIF(P16,"Cenaze Yardımı (Eş-Çocuk)")*($AJ$29)
+COUNTIF(P16,"Cenaze Yardımı (İşçi-İş Kazası Sonucu)")*($AJ$30)
+COUNTIF(P16,"Cenaze Yardımı (İşçi-Tabii Sebepler Sonucu)")*($AJ$31)
+COUNTIF(P16,"Doğum Yardımı (İşveren)")*($AJ$32)
+COUNTIF(P16,"Evlilik Yardımı")*($AJ$33)
+COUNTIF(BE2,"Yok")*(0)
+COUNTIF(BE2,"Cenaze Yardımı (Eş-Çocuk)")*($AJ$29)
+COUNTIF(BE2,"Cenaze Yardımı (İşçi-İş Kazası Sonucu)")*($AJ$30)
+COUNTIF(BE2,"Cenaze Yardımı (İşçi-Tabii Sebepler Sonucu)")*($AJ$31)
+COUNTIF(BE2,"Doğum Yardımı (İşveren)")*($AJ$32)
+COUNTIF(BE2,"Evlilik Yardımı")*($AJ$33)
+COUNTIF(BF2,"Yok")*(0)
+COUNTIF(BF2,"Cenaze Yardımı (Eş-Çocuk)")*($AJ$29)
+COUNTIF(BF2,"Cenaze Yardımı (İşçi-İş Kazası Sonucu)")*($AJ$30)
+COUNTIF(BF2,"Cenaze Yardımı (İşçi-Tabii Sebepler Sonucu)")*($AJ$31)
+COUNTIF(BF2,"Doğum Yardımı (İşveren)")*($AJ$32)
+COUNTIF(BF2,"Evlilik Yardımı")*($AJ$33)</f>
        <v>0</v>
      </c>
      <c r="BI2" s="42">
        <f>COUNTIF(P16,"Yok")*(0)
+COUNTIF(P16,"Cenaze Yardımı (Eş-Çocuk)")*($AJ$29-$AJ$29*0.00759)
+COUNTIF(P16,"Cenaze Yardımı (İşçi-İş Kazası Sonucu)")*($AJ$30-$AJ$30*0.00759)
+COUNTIF(P16,"Cenaze Yardımı (İşçi-Tabii Sebepler Sonucu)")*($AJ$31-$AJ$31*0.00759)
+COUNTIF(P16,"Doğum Yardımı (İşveren)")*($AJ$32-$AJ$32*0.00759)
+COUNTIF(P16,"Evlilik Yardımı")*($AJ$33-$AJ$33*0.00759)
+COUNTIF(BE2,"Yok")*(0)
+COUNTIF(BE2,"Cenaze Yardımı (Eş-Çocuk)")*($AJ$29-$AJ$29*0.00759)
+COUNTIF(BE2,"Cenaze Yardımı (İşçi-İş Kazası Sonucu)")*($AJ$30-$AJ$30*0.00759)
+COUNTIF(BE2,"Cenaze Yardımı (İşçi-Tabii Sebepler Sonucu)")*($AJ$31-$AJ$31*0.00759)
+COUNTIF(BE2,"Doğum Yardımı (İşveren)")*($AJ$32-$AJ$32*0.00759)
+COUNTIF(BE2,"Evlilik Yardımı")*($AJ$33-$AJ$33*0.00759)
+COUNTIF(BF2,"Yok")*(0)
+COUNTIF(BF2,"Cenaze Yardımı (Eş-Çocuk)")*($AJ$29-$AJ$29*0.00759)
+COUNTIF(BF2,"Cenaze Yardımı (İşçi-İş Kazası Sonucu)")*($AJ$30-$AJ$30*0.00759)
+COUNTIF(BF2,"Cenaze Yardımı (İşçi-Tabii Sebepler Sonucu)")*($AJ$31-$AJ$31*0.00759)
+COUNTIF(BF2,"Doğum Yardımı (İşveren)")*($AJ$32-$AJ$32*0.00759)
+COUNTIF(BF2,"Evlilik Yardımı")*($AJ$33-$AJ$33*0.00759)</f>
        <v>0</v>
      </c>
      <c r="BJ2" s="43">
        <v>0.2</v>
      </c>
      <c r="BK2" s="40">
        <f>$BL$1</f>
        <v>70000</v>
      </c>
      <c r="BL2" s="40">
        <v>150000</v>
      </c>
      <c r="BM2" s="40">
        <f>(BL1-BK1)*BJ1+BM1</f>
        <v>10500</v>
      </c>
      <c r="BN2" s="40">
        <f>(BH16+BI30+BJ30-BK31)</f>
        <v>8506.7999999999993</v>
      </c>
    </row>
    <row r="3" spans="1:69" ht="39.950000000000003" customHeight="1" x14ac:dyDescent="0.25">
      <c r="A3" s="68"/>
      <c r="B3" s="1"/>
      <c r="C3" s="2"/>
      <c r="D3" s="2"/>
      <c r="E3" s="3"/>
      <c r="F3" s="3"/>
      <c r="G3" s="14"/>
      <c r="H3" s="14"/>
      <c r="I3" s="3"/>
      <c r="J3" s="2"/>
      <c r="K3" s="5"/>
      <c r="L3" s="2"/>
      <c r="M3" s="2"/>
      <c r="N3" s="2"/>
      <c r="O3" s="2"/>
      <c r="P3" s="2"/>
      <c r="Q3" s="2"/>
      <c r="R3" s="2"/>
      <c r="S3" s="2"/>
      <c r="T3" s="6"/>
      <c r="U3" s="74"/>
      <c r="V3" s="7"/>
      <c r="W3" s="75"/>
      <c r="X3" s="15"/>
      <c r="Y3" s="16"/>
      <c r="Z3" s="17"/>
      <c r="AA3" s="66"/>
      <c r="AB3" s="34" t="s">
        <v>49</v>
      </c>
      <c r="AC3" s="35">
        <f t="shared" ca="1" si="0"/>
        <v>0</v>
      </c>
      <c r="AD3" s="35">
        <f ca="1">COUNTIF(U1,"Ocak")*(AN48)
+COUNTIF(U1,"Şubat")*(AN49)
+COUNTIF(U1,"Mart")*(AN50)
+COUNTIF(U1,"Nisan")*(AN51)
+COUNTIF(U1,"Mayıs")*(AN52)
+COUNTIF(U1,"Haziran")*(AN53)
+COUNTIF(U1,"Temmuz")*(AN54)
+COUNTIF(U1,"Ağustos")*(AN55)
+COUNTIF(U1,"Eylül")*(AN56)
+COUNTIF(U1,"Ekim")*(AN57)
+COUNTIF(U1,"Kasım")*(AN58)
+COUNTIF(U1,"Aralık")*(AN59)
+COUNTIF(U1,"Yıllık Toplam")*(AN60)
+COUNTIF(U1,"Yıllık Ortalama")*(AN61)</f>
        <v>0</v>
      </c>
      <c r="AE3" s="39">
        <v>1</v>
      </c>
      <c r="AF3" s="44">
        <v>0.5</v>
      </c>
      <c r="AG3" s="45">
        <v>0.03</v>
      </c>
      <c r="AH3" s="34" t="s">
        <v>78</v>
      </c>
      <c r="AI3" s="38">
        <v>480.33</v>
      </c>
      <c r="AJ3" s="38">
        <v>480.33</v>
      </c>
      <c r="AL3" s="46">
        <f>(2%)</f>
        <v>0.02</v>
      </c>
      <c r="AM3" s="39" t="s">
        <v>0</v>
      </c>
      <c r="AN3" s="40">
        <f>($AN$8*$AL$3)</f>
        <v>200.16</v>
      </c>
      <c r="AO3" s="40">
        <f>($AO$8*$AL$3)</f>
        <v>200.16</v>
      </c>
      <c r="AP3"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Q3" s="35">
        <f ca="1">(AP3*AM81)</f>
        <v>262.0288132</v>
      </c>
      <c r="AR3"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S3" s="40">
        <f ca="1">(AR3*AM81+BO46/30*-1+AI81/30)</f>
        <v>307.09483719999997</v>
      </c>
      <c r="AT3"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U3" s="40">
        <f ca="1">(AT3*AM81)</f>
        <v>262.0288132</v>
      </c>
      <c r="AV3" s="40">
        <f>(AT3*I17)</f>
        <v>10995.599999999999</v>
      </c>
      <c r="AW3" s="40">
        <f ca="1">(AV3*AM81)</f>
        <v>7860.864395999999</v>
      </c>
      <c r="AX3" s="41">
        <v>30</v>
      </c>
      <c r="AY3" s="40">
        <f t="shared" si="1"/>
        <v>915.05</v>
      </c>
      <c r="AZ3" s="40">
        <f ca="1">(AY3*AM81)</f>
        <v>654.17839549999997</v>
      </c>
      <c r="BA3" s="40">
        <f>($AN$16*M17)</f>
        <v>0</v>
      </c>
      <c r="BB3" s="40">
        <f ca="1">(BA3+(BA3*0.00759*-1)+((BA3-BC3)*0.14*-1)+((BA3-BC3)*0.01*-1)+(BA3+((BA3-BC3)*0.14*-1)+((BA3-BC3)*0.01*-1))*AL67*-1)</f>
        <v>0</v>
      </c>
      <c r="BC3" s="40">
        <f>($AN$4*M17)</f>
        <v>0</v>
      </c>
      <c r="BD3" s="40">
        <f>($AN$7*M17)</f>
        <v>0</v>
      </c>
      <c r="BE3" s="37" t="s">
        <v>1</v>
      </c>
      <c r="BF3" s="37" t="s">
        <v>1</v>
      </c>
      <c r="BG3" s="42">
        <f>COUNTIF(P17,"Yok")*(0)
+COUNTIF(P17,"Cenaze Yardımı (Eş-Çocuk)")*($AJ$29)
+COUNTIF(P17,"Cenaze Yardımı (İşçi-İş Kazası Sonucu)")*($AJ$30)
+COUNTIF(P17,"Cenaze Yardımı (İşçi-Tabii Sebepler Sonucu)")*($AJ$31)
+COUNTIF(P17,"Doğum Yardımı (İşveren)")*($AJ$32)
+COUNTIF(P17,"Evlilik Yardımı")*($AJ$33)
+COUNTIF(BE3,"Yok")*(0)
+COUNTIF(BE3,"Cenaze Yardımı (Eş-Çocuk)")*($AJ$29)
+COUNTIF(BE3,"Cenaze Yardımı (İşçi-İş Kazası Sonucu)")*($AJ$30)
+COUNTIF(BE3,"Cenaze Yardımı (İşçi-Tabii Sebepler Sonucu)")*($AJ$31)
+COUNTIF(BE3,"Doğum Yardımı (İşveren)")*($AJ$32)
+COUNTIF(BE3,"Evlilik Yardımı")*($AJ$33)
+COUNTIF(BF3,"Yok")*(0)
+COUNTIF(BF3,"Cenaze Yardımı (Eş-Çocuk)")*($AJ$29)
+COUNTIF(BF3,"Cenaze Yardımı (İşçi-İş Kazası Sonucu)")*($AJ$30)
+COUNTIF(BF3,"Cenaze Yardımı (İşçi-Tabii Sebepler Sonucu)")*($AJ$31)
+COUNTIF(BF3,"Doğum Yardımı (İşveren)")*($AJ$32)
+COUNTIF(BF3,"Evlilik Yardımı")*($AJ$33)</f>
        <v>0</v>
      </c>
      <c r="BH3" s="42">
        <f>COUNTIF(P17,"Yok")*(0)
+COUNTIF(P17,"Cenaze Yardımı (Eş-Çocuk)")*($AJ$29)
+COUNTIF(P17,"Cenaze Yardımı (İşçi-İş Kazası Sonucu)")*($AJ$30)
+COUNTIF(P17,"Cenaze Yardımı (İşçi-Tabii Sebepler Sonucu)")*($AJ$31)
+COUNTIF(P17,"Doğum Yardımı (İşveren)")*($AJ$32)
+COUNTIF(P17,"Evlilik Yardımı")*($AJ$33)
+COUNTIF(BE3,"Yok")*(0)
+COUNTIF(BE3,"Cenaze Yardımı (Eş-Çocuk)")*($AJ$29)
+COUNTIF(BE3,"Cenaze Yardımı (İşçi-İş Kazası Sonucu)")*($AJ$30)
+COUNTIF(BE3,"Cenaze Yardımı (İşçi-Tabii Sebepler Sonucu)")*($AJ$31)
+COUNTIF(BE3,"Doğum Yardımı (İşveren)")*($AJ$32)
+COUNTIF(BE3,"Evlilik Yardımı")*($AJ$33)
+COUNTIF(BF3,"Yok")*(0)
+COUNTIF(BF3,"Cenaze Yardımı (Eş-Çocuk)")*($AJ$29)
+COUNTIF(BF3,"Cenaze Yardımı (İşçi-İş Kazası Sonucu)")*($AJ$30)
+COUNTIF(BF3,"Cenaze Yardımı (İşçi-Tabii Sebepler Sonucu)")*($AJ$31)
+COUNTIF(BF3,"Doğum Yardımı (İşveren)")*($AJ$32)
+COUNTIF(BF3,"Evlilik Yardımı")*($AJ$33)</f>
        <v>0</v>
      </c>
      <c r="BI3" s="42">
        <f>COUNTIF(P17,"Yok")*(0)
+COUNTIF(P17,"Cenaze Yardımı (Eş-Çocuk)")*($AJ$29-$AJ$29*0.00759)
+COUNTIF(P17,"Cenaze Yardımı (İşçi-İş Kazası Sonucu)")*($AJ$30-$AJ$30*0.00759)
+COUNTIF(P17,"Cenaze Yardımı (İşçi-Tabii Sebepler Sonucu)")*($AJ$31-$AJ$31*0.00759)
+COUNTIF(P17,"Doğum Yardımı (İşveren)")*($AJ$32-$AJ$32*0.00759)
+COUNTIF(P17,"Evlilik Yardımı")*($AJ$33-$AJ$33*0.00759)
+COUNTIF(BE3,"Yok")*(0)
+COUNTIF(BE3,"Cenaze Yardımı (Eş-Çocuk)")*($AJ$29-$AJ$29*0.00759)
+COUNTIF(BE3,"Cenaze Yardımı (İşçi-İş Kazası Sonucu)")*($AJ$30-$AJ$30*0.00759)
+COUNTIF(BE3,"Cenaze Yardımı (İşçi-Tabii Sebepler Sonucu)")*($AJ$31-$AJ$31*0.00759)
+COUNTIF(BE3,"Doğum Yardımı (İşveren)")*($AJ$32-$AJ$32*0.00759)
+COUNTIF(BE3,"Evlilik Yardımı")*($AJ$33-$AJ$33*0.00759)
+COUNTIF(BF3,"Yok")*(0)
+COUNTIF(BF3,"Cenaze Yardımı (Eş-Çocuk)")*($AJ$29-$AJ$29*0.00759)
+COUNTIF(BF3,"Cenaze Yardımı (İşçi-İş Kazası Sonucu)")*($AJ$30-$AJ$30*0.00759)
+COUNTIF(BF3,"Cenaze Yardımı (İşçi-Tabii Sebepler Sonucu)")*($AJ$31-$AJ$31*0.00759)
+COUNTIF(BF3,"Doğum Yardımı (İşveren)")*($AJ$32-$AJ$32*0.00759)
+COUNTIF(BF3,"Evlilik Yardımı")*($AJ$33-$AJ$33*0.00759)</f>
        <v>0</v>
      </c>
      <c r="BJ3" s="43">
        <v>0.27</v>
      </c>
      <c r="BK3" s="40">
        <f>$BL$2</f>
        <v>150000</v>
      </c>
      <c r="BL3" s="40">
        <v>370000</v>
      </c>
      <c r="BM3" s="40">
        <f>(BL2-BK2)*BJ2+BM2</f>
        <v>26500</v>
      </c>
      <c r="BN3" s="40">
        <f>(BH17+BI31+BJ31-BK32)</f>
        <v>8506.7999999999993</v>
      </c>
    </row>
    <row r="4" spans="1:69" ht="39.950000000000003" customHeight="1" x14ac:dyDescent="0.25">
      <c r="A4" s="68"/>
      <c r="B4" s="1"/>
      <c r="C4" s="2"/>
      <c r="D4" s="2"/>
      <c r="E4" s="3"/>
      <c r="F4" s="3"/>
      <c r="G4" s="14"/>
      <c r="H4" s="14"/>
      <c r="I4" s="3"/>
      <c r="J4" s="2"/>
      <c r="K4" s="5"/>
      <c r="L4" s="2"/>
      <c r="M4" s="2"/>
      <c r="N4" s="2"/>
      <c r="O4" s="2"/>
      <c r="P4" s="2"/>
      <c r="Q4" s="2"/>
      <c r="R4" s="2"/>
      <c r="S4" s="2"/>
      <c r="T4" s="6"/>
      <c r="U4" s="74"/>
      <c r="V4" s="7"/>
      <c r="W4" s="75"/>
      <c r="X4" s="15"/>
      <c r="Y4" s="16"/>
      <c r="Z4" s="17"/>
      <c r="AA4" s="66"/>
      <c r="AB4" s="34" t="s">
        <v>4</v>
      </c>
      <c r="AC4" s="35">
        <f t="shared" ca="1" si="0"/>
        <v>0</v>
      </c>
      <c r="AD4" s="35">
        <f ca="1">COUNTIF(U1,"Ocak")*(AP48)
+COUNTIF(U1,"Şubat")*(AP49)
+COUNTIF(U1,"Mart")*(AP50)
+COUNTIF(U1,"Nisan")*(AP51)
+COUNTIF(U1,"Mayıs")*(AP52)
+COUNTIF(U1,"Haziran")*(AP53)
+COUNTIF(U1,"Temmuz")*(AP54)
+COUNTIF(U1,"Ağustos")*(AP55)
+COUNTIF(U1,"Eylül")*(AP56)
+COUNTIF(U1,"Ekim")*(AP57)
+COUNTIF(U1,"Kasım")*(AP58)
+COUNTIF(U1,"Aralık")*(AP59)
+COUNTIF(U1,"Yıllık Toplam")*(AP60)
+COUNTIF(U1,"Yıllık Ortalama")*(AP61)</f>
        <v>0</v>
      </c>
      <c r="AE4" s="39">
        <v>2</v>
      </c>
      <c r="AF4" s="44">
        <v>1</v>
      </c>
      <c r="AG4" s="45">
        <v>0.04</v>
      </c>
      <c r="AH4" s="34" t="s">
        <v>79</v>
      </c>
      <c r="AI4" s="38">
        <v>466.47</v>
      </c>
      <c r="AJ4" s="38">
        <v>466.47</v>
      </c>
      <c r="AL4" s="46">
        <f>(1%)</f>
        <v>0.01</v>
      </c>
      <c r="AM4" s="39" t="s">
        <v>0</v>
      </c>
      <c r="AN4" s="40">
        <f>($AN$8*$AL$4)</f>
        <v>100.08</v>
      </c>
      <c r="AO4" s="40">
        <f>($AO$8*$AL$4)</f>
        <v>100.08</v>
      </c>
      <c r="AP4"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Q4" s="35">
        <f ca="1">(AP4*AM82)</f>
        <v>262.0288132</v>
      </c>
      <c r="AR4"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S4" s="40">
        <f ca="1">(AR4*AM82+BO47/30*-1+AI82/30)</f>
        <v>307.09483719999997</v>
      </c>
      <c r="AT4"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U4" s="40">
        <f ca="1">(AT4*AM82)</f>
        <v>262.0288132</v>
      </c>
      <c r="AV4" s="40">
        <f>(AT4*I18)</f>
        <v>0</v>
      </c>
      <c r="AW4" s="40">
        <f ca="1">(AV4*AM82)</f>
        <v>0</v>
      </c>
      <c r="AX4" s="41">
        <v>30</v>
      </c>
      <c r="AY4" s="40">
        <f t="shared" si="1"/>
        <v>915.05</v>
      </c>
      <c r="AZ4" s="40">
        <f ca="1">(AY4*AM82)</f>
        <v>654.17839549999997</v>
      </c>
      <c r="BA4" s="40">
        <f>($AN$16*M18)</f>
        <v>0</v>
      </c>
      <c r="BB4" s="40">
        <f ca="1">(BA4+(BA4*0.00759*-1)+((BA4-BC4)*0.14*-1)+((BA4-BC4)*0.01*-1)+(BA4+((BA4-BC4)*0.14*-1)+((BA4-BC4)*0.01*-1))*AL68*-1)</f>
        <v>0</v>
      </c>
      <c r="BC4" s="40">
        <f>($AN$4*M18)</f>
        <v>0</v>
      </c>
      <c r="BD4" s="40">
        <f>($AN$7*M18)</f>
        <v>0</v>
      </c>
      <c r="BE4" s="37" t="s">
        <v>1</v>
      </c>
      <c r="BF4" s="37" t="s">
        <v>1</v>
      </c>
      <c r="BG4" s="42">
        <f>COUNTIF(P18,"Yok")*(0)
+COUNTIF(P18,"Cenaze Yardımı (Eş-Çocuk)")*($AJ$29)
+COUNTIF(P18,"Cenaze Yardımı (İşçi-İş Kazası Sonucu)")*($AJ$30)
+COUNTIF(P18,"Cenaze Yardımı (İşçi-Tabii Sebepler Sonucu)")*($AJ$31)
+COUNTIF(P18,"Doğum Yardımı (İşveren)")*($AJ$32)
+COUNTIF(P18,"Evlilik Yardımı")*($AJ$33)
+COUNTIF(BE4,"Yok")*(0)
+COUNTIF(BE4,"Cenaze Yardımı (Eş-Çocuk)")*($AJ$29)
+COUNTIF(BE4,"Cenaze Yardımı (İşçi-İş Kazası Sonucu)")*($AJ$30)
+COUNTIF(BE4,"Cenaze Yardımı (İşçi-Tabii Sebepler Sonucu)")*($AJ$31)
+COUNTIF(BE4,"Doğum Yardımı (İşveren)")*($AJ$32)
+COUNTIF(BE4,"Evlilik Yardımı")*($AJ$33)
+COUNTIF(BF4,"Yok")*(0)
+COUNTIF(BF4,"Cenaze Yardımı (Eş-Çocuk)")*($AJ$29)
+COUNTIF(BF4,"Cenaze Yardımı (İşçi-İş Kazası Sonucu)")*($AJ$30)
+COUNTIF(BF4,"Cenaze Yardımı (İşçi-Tabii Sebepler Sonucu)")*($AJ$31)
+COUNTIF(BF4,"Doğum Yardımı (İşveren)")*($AJ$32)
+COUNTIF(BF4,"Evlilik Yardımı")*($AJ$33)</f>
        <v>0</v>
      </c>
      <c r="BH4" s="42">
        <f>COUNTIF(P18,"Yok")*(0)
+COUNTIF(P18,"Cenaze Yardımı (Eş-Çocuk)")*($AJ$29)
+COUNTIF(P18,"Cenaze Yardımı (İşçi-İş Kazası Sonucu)")*($AJ$30)
+COUNTIF(P18,"Cenaze Yardımı (İşçi-Tabii Sebepler Sonucu)")*($AJ$31)
+COUNTIF(P18,"Doğum Yardımı (İşveren)")*($AJ$32)
+COUNTIF(P18,"Evlilik Yardımı")*($AJ$33)
+COUNTIF(BE4,"Yok")*(0)
+COUNTIF(BE4,"Cenaze Yardımı (Eş-Çocuk)")*($AJ$29)
+COUNTIF(BE4,"Cenaze Yardımı (İşçi-İş Kazası Sonucu)")*($AJ$30)
+COUNTIF(BE4,"Cenaze Yardımı (İşçi-Tabii Sebepler Sonucu)")*($AJ$31)
+COUNTIF(BE4,"Doğum Yardımı (İşveren)")*($AJ$32)
+COUNTIF(BE4,"Evlilik Yardımı")*($AJ$33)
+COUNTIF(BF4,"Yok")*(0)
+COUNTIF(BF4,"Cenaze Yardımı (Eş-Çocuk)")*($AJ$29)
+COUNTIF(BF4,"Cenaze Yardımı (İşçi-İş Kazası Sonucu)")*($AJ$30)
+COUNTIF(BF4,"Cenaze Yardımı (İşçi-Tabii Sebepler Sonucu)")*($AJ$31)
+COUNTIF(BF4,"Doğum Yardımı (İşveren)")*($AJ$32)
+COUNTIF(BF4,"Evlilik Yardımı")*($AJ$33)</f>
        <v>0</v>
      </c>
      <c r="BI4" s="42">
        <f>COUNTIF(P18,"Yok")*(0)
+COUNTIF(P18,"Cenaze Yardımı (Eş-Çocuk)")*($AJ$29-$AJ$29*0.00759)
+COUNTIF(P18,"Cenaze Yardımı (İşçi-İş Kazası Sonucu)")*($AJ$30-$AJ$30*0.00759)
+COUNTIF(P18,"Cenaze Yardımı (İşçi-Tabii Sebepler Sonucu)")*($AJ$31-$AJ$31*0.00759)
+COUNTIF(P18,"Doğum Yardımı (İşveren)")*($AJ$32-$AJ$32*0.00759)
+COUNTIF(P18,"Evlilik Yardımı")*($AJ$33-$AJ$33*0.00759)
+COUNTIF(BE4,"Yok")*(0)
+COUNTIF(BE4,"Cenaze Yardımı (Eş-Çocuk)")*($AJ$29-$AJ$29*0.00759)
+COUNTIF(BE4,"Cenaze Yardımı (İşçi-İş Kazası Sonucu)")*($AJ$30-$AJ$30*0.00759)
+COUNTIF(BE4,"Cenaze Yardımı (İşçi-Tabii Sebepler Sonucu)")*($AJ$31-$AJ$31*0.00759)
+COUNTIF(BE4,"Doğum Yardımı (İşveren)")*($AJ$32-$AJ$32*0.00759)
+COUNTIF(BE4,"Evlilik Yardımı")*($AJ$33-$AJ$33*0.00759)
+COUNTIF(BF4,"Yok")*(0)
+COUNTIF(BF4,"Cenaze Yardımı (Eş-Çocuk)")*($AJ$29-$AJ$29*0.00759)
+COUNTIF(BF4,"Cenaze Yardımı (İşçi-İş Kazası Sonucu)")*($AJ$30-$AJ$30*0.00759)
+COUNTIF(BF4,"Cenaze Yardımı (İşçi-Tabii Sebepler Sonucu)")*($AJ$31-$AJ$31*0.00759)
+COUNTIF(BF4,"Doğum Yardımı (İşveren)")*($AJ$32-$AJ$32*0.00759)
+COUNTIF(BF4,"Evlilik Yardımı")*($AJ$33-$AJ$33*0.00759)</f>
        <v>0</v>
      </c>
      <c r="BJ4" s="43">
        <v>0.35</v>
      </c>
      <c r="BK4" s="40">
        <f>$BL$3</f>
        <v>370000</v>
      </c>
      <c r="BL4" s="40">
        <v>1900000</v>
      </c>
      <c r="BM4" s="40">
        <f>(BL3-BK3)*BJ3+BM3</f>
        <v>85900</v>
      </c>
      <c r="BN4" s="40">
        <f>(BH18+BI32+BJ32-BK33)</f>
        <v>8506.7999999999993</v>
      </c>
    </row>
    <row r="5" spans="1:69" ht="39.950000000000003" customHeight="1" x14ac:dyDescent="0.25">
      <c r="A5" s="68"/>
      <c r="B5" s="1"/>
      <c r="C5" s="2"/>
      <c r="D5" s="2"/>
      <c r="E5" s="3"/>
      <c r="F5" s="3"/>
      <c r="G5" s="14"/>
      <c r="H5" s="14"/>
      <c r="I5" s="3"/>
      <c r="J5" s="2"/>
      <c r="K5" s="5"/>
      <c r="L5" s="2"/>
      <c r="M5" s="2"/>
      <c r="N5" s="2"/>
      <c r="O5" s="2"/>
      <c r="P5" s="2"/>
      <c r="Q5" s="2"/>
      <c r="R5" s="2"/>
      <c r="S5" s="2"/>
      <c r="T5" s="6"/>
      <c r="U5" s="74"/>
      <c r="V5" s="7"/>
      <c r="W5" s="75"/>
      <c r="X5" s="15"/>
      <c r="Y5" s="16"/>
      <c r="Z5" s="17"/>
      <c r="AA5" s="66"/>
      <c r="AB5" s="34" t="s">
        <v>10</v>
      </c>
      <c r="AC5" s="35">
        <f t="shared" ca="1" si="0"/>
        <v>0</v>
      </c>
      <c r="AD5" s="40">
        <f ca="1">COUNTIF(U1,"Ocak")*(AS29)
+COUNTIF(U1,"Şubat")*(AS30)
+COUNTIF(U1,"Mart")*(AS31)
+COUNTIF(U1,"Nisan")*(AS32)
+COUNTIF(U1,"Mayıs")*(AS33)
+COUNTIF(U1,"Haziran")*(AS34)
+COUNTIF(U1,"Temmuz")*(AS35)
+COUNTIF(U1,"Ağustos")*(AS36)
+COUNTIF(U1,"Eylül")*(AS37)
+COUNTIF(U1,"Ekim")*(AS38)
+COUNTIF(U1,"Kasım")*(AS39)
+COUNTIF(U1,"Aralık")*(AS40)
+COUNTIF(U1,"Yıllık Toplam")*(AS41)
+COUNTIF(U1,"Yıllık Ortalama")*(AS42)</f>
        <v>0</v>
      </c>
      <c r="AE5" s="39">
        <v>3</v>
      </c>
      <c r="AF5" s="44">
        <v>1.5</v>
      </c>
      <c r="AG5" s="45">
        <v>0.05</v>
      </c>
      <c r="AH5" s="34" t="s">
        <v>80</v>
      </c>
      <c r="AI5" s="38">
        <v>469.14</v>
      </c>
      <c r="AJ5" s="38">
        <v>469.14</v>
      </c>
      <c r="AL5" s="39" t="s">
        <v>0</v>
      </c>
      <c r="AM5" s="39" t="s">
        <v>0</v>
      </c>
      <c r="AN5" s="40">
        <f>($AN$14)</f>
        <v>985.763732</v>
      </c>
      <c r="AO5" s="40">
        <f>($AO$14)</f>
        <v>985.763732</v>
      </c>
      <c r="AP5"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Q5" s="35">
        <f ca="1">(AP5*AM83)</f>
        <v>262.0288132</v>
      </c>
      <c r="AR5"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S5" s="40">
        <f ca="1">(AR5*AM83+BO48/30*-1+AI83/30)</f>
        <v>307.09483719999997</v>
      </c>
      <c r="AT5"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U5" s="40">
        <f ca="1">(AT5*AM83)</f>
        <v>262.0288132</v>
      </c>
      <c r="AV5" s="40">
        <f>(AT5*I19)</f>
        <v>0</v>
      </c>
      <c r="AW5" s="40">
        <f ca="1">(AV5*AM83)</f>
        <v>0</v>
      </c>
      <c r="AX5" s="41">
        <v>30</v>
      </c>
      <c r="AY5" s="40">
        <f t="shared" si="1"/>
        <v>915.05</v>
      </c>
      <c r="AZ5" s="40">
        <f ca="1">(AY5*AM83)</f>
        <v>654.17839549999997</v>
      </c>
      <c r="BA5" s="40">
        <f>($AN$16*M19)</f>
        <v>0</v>
      </c>
      <c r="BB5" s="40">
        <f ca="1">(BA5+(BA5*0.00759*-1)+((BA5-BC5)*0.14*-1)+((BA5-BC5)*0.01*-1)+(BA5+((BA5-BC5)*0.14*-1)+((BA5-BC5)*0.01*-1))*AL69*-1)</f>
        <v>0</v>
      </c>
      <c r="BC5" s="40">
        <f>($AN$4*M19)</f>
        <v>0</v>
      </c>
      <c r="BD5" s="40">
        <f>($AN$7*M19)</f>
        <v>0</v>
      </c>
      <c r="BE5" s="37" t="s">
        <v>1</v>
      </c>
      <c r="BF5" s="37" t="s">
        <v>1</v>
      </c>
      <c r="BG5" s="42">
        <f>COUNTIF(P19,"Yok")*(0)
+COUNTIF(P19,"Cenaze Yardımı (Eş-Çocuk)")*($AJ$29)
+COUNTIF(P19,"Cenaze Yardımı (İşçi-İş Kazası Sonucu)")*($AJ$30)
+COUNTIF(P19,"Cenaze Yardımı (İşçi-Tabii Sebepler Sonucu)")*($AJ$31)
+COUNTIF(P19,"Doğum Yardımı (İşveren)")*($AJ$32)
+COUNTIF(P19,"Evlilik Yardımı")*($AJ$33)
+COUNTIF(BE5,"Yok")*(0)
+COUNTIF(BE5,"Cenaze Yardımı (Eş-Çocuk)")*($AJ$29)
+COUNTIF(BE5,"Cenaze Yardımı (İşçi-İş Kazası Sonucu)")*($AJ$30)
+COUNTIF(BE5,"Cenaze Yardımı (İşçi-Tabii Sebepler Sonucu)")*($AJ$31)
+COUNTIF(BE5,"Doğum Yardımı (İşveren)")*($AJ$32)
+COUNTIF(BE5,"Evlilik Yardımı")*($AJ$33)
+COUNTIF(BF5,"Yok")*(0)
+COUNTIF(BF5,"Cenaze Yardımı (Eş-Çocuk)")*($AJ$29)
+COUNTIF(BF5,"Cenaze Yardımı (İşçi-İş Kazası Sonucu)")*($AJ$30)
+COUNTIF(BF5,"Cenaze Yardımı (İşçi-Tabii Sebepler Sonucu)")*($AJ$31)
+COUNTIF(BF5,"Doğum Yardımı (İşveren)")*($AJ$32)
+COUNTIF(BF5,"Evlilik Yardımı")*($AJ$33)</f>
        <v>0</v>
      </c>
      <c r="BH5" s="42">
        <f>COUNTIF(P19,"Yok")*(0)
+COUNTIF(P19,"Cenaze Yardımı (Eş-Çocuk)")*($AJ$29)
+COUNTIF(P19,"Cenaze Yardımı (İşçi-İş Kazası Sonucu)")*($AJ$30)
+COUNTIF(P19,"Cenaze Yardımı (İşçi-Tabii Sebepler Sonucu)")*($AJ$31)
+COUNTIF(P19,"Doğum Yardımı (İşveren)")*($AJ$32)
+COUNTIF(P19,"Evlilik Yardımı")*($AJ$33)
+COUNTIF(BE5,"Yok")*(0)
+COUNTIF(BE5,"Cenaze Yardımı (Eş-Çocuk)")*($AJ$29)
+COUNTIF(BE5,"Cenaze Yardımı (İşçi-İş Kazası Sonucu)")*($AJ$30)
+COUNTIF(BE5,"Cenaze Yardımı (İşçi-Tabii Sebepler Sonucu)")*($AJ$31)
+COUNTIF(BE5,"Doğum Yardımı (İşveren)")*($AJ$32)
+COUNTIF(BE5,"Evlilik Yardımı")*($AJ$33)
+COUNTIF(BF5,"Yok")*(0)
+COUNTIF(BF5,"Cenaze Yardımı (Eş-Çocuk)")*($AJ$29)
+COUNTIF(BF5,"Cenaze Yardımı (İşçi-İş Kazası Sonucu)")*($AJ$30)
+COUNTIF(BF5,"Cenaze Yardımı (İşçi-Tabii Sebepler Sonucu)")*($AJ$31)
+COUNTIF(BF5,"Doğum Yardımı (İşveren)")*($AJ$32)
+COUNTIF(BF5,"Evlilik Yardımı")*($AJ$33)</f>
        <v>0</v>
      </c>
      <c r="BI5" s="42">
        <f>COUNTIF(P19,"Yok")*(0)
+COUNTIF(P19,"Cenaze Yardımı (Eş-Çocuk)")*($AJ$29-$AJ$29*0.00759)
+COUNTIF(P19,"Cenaze Yardımı (İşçi-İş Kazası Sonucu)")*($AJ$30-$AJ$30*0.00759)
+COUNTIF(P19,"Cenaze Yardımı (İşçi-Tabii Sebepler Sonucu)")*($AJ$31-$AJ$31*0.00759)
+COUNTIF(P19,"Doğum Yardımı (İşveren)")*($AJ$32-$AJ$32*0.00759)
+COUNTIF(P19,"Evlilik Yardımı")*($AJ$33-$AJ$33*0.00759)
+COUNTIF(BE5,"Yok")*(0)
+COUNTIF(BE5,"Cenaze Yardımı (Eş-Çocuk)")*($AJ$29-$AJ$29*0.00759)
+COUNTIF(BE5,"Cenaze Yardımı (İşçi-İş Kazası Sonucu)")*($AJ$30-$AJ$30*0.00759)
+COUNTIF(BE5,"Cenaze Yardımı (İşçi-Tabii Sebepler Sonucu)")*($AJ$31-$AJ$31*0.00759)
+COUNTIF(BE5,"Doğum Yardımı (İşveren)")*($AJ$32-$AJ$32*0.00759)
+COUNTIF(BE5,"Evlilik Yardımı")*($AJ$33-$AJ$33*0.00759)
+COUNTIF(BF5,"Yok")*(0)
+COUNTIF(BF5,"Cenaze Yardımı (Eş-Çocuk)")*($AJ$29-$AJ$29*0.00759)
+COUNTIF(BF5,"Cenaze Yardımı (İşçi-İş Kazası Sonucu)")*($AJ$30-$AJ$30*0.00759)
+COUNTIF(BF5,"Cenaze Yardımı (İşçi-Tabii Sebepler Sonucu)")*($AJ$31-$AJ$31*0.00759)
+COUNTIF(BF5,"Doğum Yardımı (İşveren)")*($AJ$32-$AJ$32*0.00759)
+COUNTIF(BF5,"Evlilik Yardımı")*($AJ$33-$AJ$33*0.00759)</f>
        <v>0</v>
      </c>
      <c r="BJ5" s="43">
        <v>0.4</v>
      </c>
      <c r="BK5" s="47">
        <f>$BL$4</f>
        <v>1900000</v>
      </c>
      <c r="BL5" s="40">
        <v>999999999</v>
      </c>
      <c r="BM5" s="40">
        <f>(BL4-BK4)*BJ4+BM4</f>
        <v>621400</v>
      </c>
      <c r="BN5" s="40">
        <f>(BH19+BI33+BJ33-BK34)</f>
        <v>8506.7999999999993</v>
      </c>
    </row>
    <row r="6" spans="1:69" ht="39.950000000000003" customHeight="1" x14ac:dyDescent="0.25">
      <c r="A6" s="68"/>
      <c r="B6" s="1"/>
      <c r="C6" s="2"/>
      <c r="D6" s="2"/>
      <c r="E6" s="3"/>
      <c r="F6" s="3"/>
      <c r="G6" s="14"/>
      <c r="H6" s="14"/>
      <c r="I6" s="3"/>
      <c r="J6" s="2"/>
      <c r="K6" s="5"/>
      <c r="L6" s="2"/>
      <c r="M6" s="2"/>
      <c r="N6" s="2"/>
      <c r="O6" s="2"/>
      <c r="P6" s="2"/>
      <c r="Q6" s="2"/>
      <c r="R6" s="2"/>
      <c r="S6" s="2"/>
      <c r="T6" s="6"/>
      <c r="U6" s="74"/>
      <c r="V6" s="7"/>
      <c r="W6" s="75"/>
      <c r="X6" s="15"/>
      <c r="Y6" s="16"/>
      <c r="Z6" s="17"/>
      <c r="AA6" s="66"/>
      <c r="AB6" s="34" t="s">
        <v>7</v>
      </c>
      <c r="AC6" s="35">
        <f t="shared" si="0"/>
        <v>24960</v>
      </c>
      <c r="AD6" s="35">
        <f>COUNTIF(U1,"Ocak")*(AO62)
+COUNTIF(U1,"Şubat")*(AO63)
+COUNTIF(U1,"Mart")*(AO64)
+COUNTIF(U1,"Nisan")*(AO65)
+COUNTIF(U1,"Mayıs")*(AO66)
+COUNTIF(U1,"Haziran")*(AO67)
+COUNTIF(U1,"Temmuz")*(AO68)
+COUNTIF(U1,"Ağustos")*(AO69)
+COUNTIF(U1,"Eylül")*(AO70)
+COUNTIF(U1,"Ekim")*(AO71)
+COUNTIF(U1,"Kasım")*(AO72)
+COUNTIF(U1,"Aralık")*(AO73)
+COUNTIF(U1,"Yıllık Toplam")*(AO74)
+COUNTIF(U1,"Yıllık Ortalama")*(AO75)</f>
        <v>24960</v>
      </c>
      <c r="AE6" s="39">
        <v>4</v>
      </c>
      <c r="AF6" s="44">
        <v>2</v>
      </c>
      <c r="AG6" s="45">
        <v>0.06</v>
      </c>
      <c r="AH6" s="34" t="s">
        <v>81</v>
      </c>
      <c r="AI6" s="38">
        <v>466.47</v>
      </c>
      <c r="AJ6" s="38">
        <v>466.47</v>
      </c>
      <c r="AL6" s="39" t="s">
        <v>0</v>
      </c>
      <c r="AM6" s="39" t="s">
        <v>0</v>
      </c>
      <c r="AN6" s="40">
        <f>($AN$15)</f>
        <v>216.84200000000001</v>
      </c>
      <c r="AO6" s="40">
        <f>($AO$15)</f>
        <v>216.84200000000001</v>
      </c>
      <c r="AP6"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Q6" s="35">
        <f ca="1">(AP6*AM84)</f>
        <v>247.626778778291</v>
      </c>
      <c r="AR6"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S6" s="40">
        <f ca="1">(AR6*AM84+BO49/30*-1+AI84/30)</f>
        <v>292.69280277829102</v>
      </c>
      <c r="AT6" s="35">
        <f>COUNTIF($A$1,"2011-Öncesi-Römorkör Kaptanı-Nezaretçi")*($AI$1)
+COUNTIF($A$1,"2011-Öncesi-Baş Makinist-Nezaretçi")*($AI$2)
+COUNTIF($A$1,"2011-Öncesi-Liman Kaptanı-Nezaretçi")*($AI$3)
+COUNTIF($A$1,"2011-Öncesi-Gemici-Usta")*($AI$4)
+COUNTIF($A$1,"2011-Öncesi-Gemici-Uzman")*($AI$5)
+COUNTIF($A$1,"2011-Öncesi-Yağcı-Usta")*($AI$6)
+COUNTIF($A$1,"2011-Öncesi-Yağcı-Uzman")*($AI$7)
+COUNTIF($A$1,"2011-Öncesi-Elektrikçi-Nezaretçi")*($AI$8)
+COUNTIF($A$1,"2011-Sonrası-Liman Kaptanı-Nezaretçi")*($AI$9)
+COUNTIF($A$1,"2011-Sonrası-Gemici-Usta")*($AI$10)
+COUNTIF($A$1,"2011-Sonrası-Gemici-Uzman")*($AI$11)
+COUNTIF($A$1,"2012-Sonrası-Römorkör Kaptanı-Nezaretçi")*($AI$12)
+COUNTIF($A$1,"2012-Sonrası-Gemici-Usta")*($AI$13)
+COUNTIF($A$1,"2012-Sonrası-Gemici-Uzman")*($AI$14)
+COUNTIF($A$1,"2012-Sonrası-Yağcı-Usta")*($AI$15)
+COUNTIF($A$1,"2012-Sonrası-Yağcı-Uzman")*($AI$16)
+COUNTIF($A$1,"2013-Sonrası-Römorkör Kaptanı-Nezaretçi")*($AI$17)
+COUNTIF($A$1,"2013-Sonrası-Baş Makinist-Nezaretçi")*($AI$18)
+COUNTIF($A$1,"2013-Sonrası-Liman Kaptanı-Nezaretçi")*($AI$19)
+COUNTIF($A$1,"2013-Sonrası-Gemici-Usta")*($AI$20)
+COUNTIF($A$1,"2013-Sonrası-Gemici-Uzman")*($AI$21)
+COUNTIF($A$1,"2013-Sonrası-Yağcı-Usta")*($AI$22)
+COUNTIF($A$1,"2013-Sonrası-Yağcı-Uzman")*($AI$23)
+COUNTIF($A$1,"2013-Sonrası-Elektrikçi-Nezaretçi")*($AI$24)
+COUNTIF($A$1,"2015-Sonrası-Liman Kaptanı-Nezaretçi")*($AI$25)
+COUNTIF($A$1,"2015-Sonrası-Elektrikçi-Nezaretçi")*($AI$26)</f>
        <v>366.52</v>
      </c>
      <c r="AU6" s="40">
        <f ca="1">(AT6*AM84)</f>
        <v>247.626778778291</v>
      </c>
      <c r="AV6" s="40">
        <f>(AT6*I20)</f>
        <v>0</v>
      </c>
      <c r="AW6" s="40">
        <f ca="1">(AV6*AM84)</f>
        <v>0</v>
      </c>
      <c r="AX6" s="41">
        <v>30</v>
      </c>
      <c r="AY6" s="40">
        <f t="shared" si="1"/>
        <v>915.05</v>
      </c>
      <c r="AZ6" s="40">
        <f ca="1">(AY6*AM84)</f>
        <v>618.22242693734358</v>
      </c>
      <c r="BA6" s="40">
        <f>($AN$16*M20)</f>
        <v>0</v>
      </c>
      <c r="BB6" s="40">
        <f ca="1">(BA6+(BA6*0.00759*-1)+((BA6-BC6)*0.14*-1)+((BA6-BC6)*0.01*-1)+(BA6+((BA6-BC6)*0.14*-1)+((BA6-BC6)*0.01*-1))*AL70*-1)</f>
        <v>0</v>
      </c>
      <c r="BC6" s="40">
        <f>($AN$4*M20)</f>
        <v>0</v>
      </c>
      <c r="BD6" s="40">
        <f>($AN$7*M20)</f>
        <v>0</v>
      </c>
      <c r="BE6" s="37" t="s">
        <v>1</v>
      </c>
      <c r="BF6" s="37" t="s">
        <v>1</v>
      </c>
      <c r="BG6" s="42">
        <f>COUNTIF(P20,"Yok")*(0)
+COUNTIF(P20,"Cenaze Yardımı (Eş-Çocuk)")*($AJ$29)
+COUNTIF(P20,"Cenaze Yardımı (İşçi-İş Kazası Sonucu)")*($AJ$30)
+COUNTIF(P20,"Cenaze Yardımı (İşçi-Tabii Sebepler Sonucu)")*($AJ$31)
+COUNTIF(P20,"Doğum Yardımı (İşveren)")*($AJ$32)
+COUNTIF(P20,"Evlilik Yardımı")*($AJ$33)
+COUNTIF(BE6,"Yok")*(0)
+COUNTIF(BE6,"Cenaze Yardımı (Eş-Çocuk)")*($AJ$29)
+COUNTIF(BE6,"Cenaze Yardımı (İşçi-İş Kazası Sonucu)")*($AJ$30)
+COUNTIF(BE6,"Cenaze Yardımı (İşçi-Tabii Sebepler Sonucu)")*($AJ$31)
+COUNTIF(BE6,"Doğum Yardımı (İşveren)")*($AJ$32)
+COUNTIF(BE6,"Evlilik Yardımı")*($AJ$33)
+COUNTIF(BF6,"Yok")*(0)
+COUNTIF(BF6,"Cenaze Yardımı (Eş-Çocuk)")*($AJ$29)
+COUNTIF(BF6,"Cenaze Yardımı (İşçi-İş Kazası Sonucu)")*($AJ$30)
+COUNTIF(BF6,"Cenaze Yardımı (İşçi-Tabii Sebepler Sonucu)")*($AJ$31)
+COUNTIF(BF6,"Doğum Yardımı (İşveren)")*($AJ$32)
+COUNTIF(BF6,"Evlilik Yardımı")*($AJ$33)</f>
        <v>0</v>
      </c>
      <c r="BH6" s="42">
        <f>COUNTIF(P20,"Yok")*(0)
+COUNTIF(P20,"Cenaze Yardımı (Eş-Çocuk)")*($AJ$29)
+COUNTIF(P20,"Cenaze Yardımı (İşçi-İş Kazası Sonucu)")*($AJ$30)
+COUNTIF(P20,"Cenaze Yardımı (İşçi-Tabii Sebepler Sonucu)")*($AJ$31)
+COUNTIF(P20,"Doğum Yardımı (İşveren)")*($AJ$32)
+COUNTIF(P20,"Evlilik Yardımı")*($AJ$33)
+COUNTIF(BE6,"Yok")*(0)
+COUNTIF(BE6,"Cenaze Yardımı (Eş-Çocuk)")*($AJ$29)
+COUNTIF(BE6,"Cenaze Yardımı (İşçi-İş Kazası Sonucu)")*($AJ$30)
+COUNTIF(BE6,"Cenaze Yardımı (İşçi-Tabii Sebepler Sonucu)")*($AJ$31)
+COUNTIF(BE6,"Doğum Yardımı (İşveren)")*($AJ$32)
+COUNTIF(BE6,"Evlilik Yardımı")*($AJ$33)
+COUNTIF(BF6,"Yok")*(0)
+COUNTIF(BF6,"Cenaze Yardımı (Eş-Çocuk)")*($AJ$29)
+COUNTIF(BF6,"Cenaze Yardımı (İşçi-İş Kazası Sonucu)")*($AJ$30)
+COUNTIF(BF6,"Cenaze Yardımı (İşçi-Tabii Sebepler Sonucu)")*($AJ$31)
+COUNTIF(BF6,"Doğum Yardımı (İşveren)")*($AJ$32)
+COUNTIF(BF6,"Evlilik Yardımı")*($AJ$33)</f>
        <v>0</v>
      </c>
      <c r="BI6" s="42">
        <f>COUNTIF(P20,"Yok")*(0)
+COUNTIF(P20,"Cenaze Yardımı (Eş-Çocuk)")*($AJ$29-$AJ$29*0.00759)
+COUNTIF(P20,"Cenaze Yardımı (İşçi-İş Kazası Sonucu)")*($AJ$30-$AJ$30*0.00759)
+COUNTIF(P20,"Cenaze Yardımı (İşçi-Tabii Sebepler Sonucu)")*($AJ$31-$AJ$31*0.00759)
+COUNTIF(P20,"Doğum Yardımı (İşveren)")*($AJ$32-$AJ$32*0.00759)
+COUNTIF(P20,"Evlilik Yardımı")*($AJ$33-$AJ$33*0.00759)
+COUNTIF(BE6,"Yok")*(0)
+COUNTIF(BE6,"Cenaze Yardımı (Eş-Çocuk)")*($AJ$29-$AJ$29*0.00759)
+COUNTIF(BE6,"Cenaze Yardımı (İşçi-İş Kazası Sonucu)")*($AJ$30-$AJ$30*0.00759)
+COUNTIF(BE6,"Cenaze Yardımı (İşçi-Tabii Sebepler Sonucu)")*($AJ$31-$AJ$31*0.00759)
+COUNTIF(BE6,"Doğum Yardımı (İşveren)")*($AJ$32-$AJ$32*0.00759)
+COUNTIF(BE6,"Evlilik Yardımı")*($AJ$33-$AJ$33*0.00759)
+COUNTIF(BF6,"Yok")*(0)
+COUNTIF(BF6,"Cenaze Yardımı (Eş-Çocuk)")*($AJ$29-$AJ$29*0.00759)
+COUNTIF(BF6,"Cenaze Yardımı (İşçi-İş Kazası Sonucu)")*($AJ$30-$AJ$30*0.00759)
+COUNTIF(BF6,"Cenaze Yardımı (İşçi-Tabii Sebepler Sonucu)")*($AJ$31-$AJ$31*0.00759)
+COUNTIF(BF6,"Doğum Yardımı (İşveren)")*($AJ$32-$AJ$32*0.00759)
+COUNTIF(BF6,"Evlilik Yardımı")*($AJ$33-$AJ$33*0.00759)</f>
        <v>0</v>
      </c>
      <c r="BJ6" s="40" t="s">
        <v>0</v>
      </c>
      <c r="BK6" s="40" t="s">
        <v>0</v>
      </c>
      <c r="BL6" s="40" t="s">
        <v>0</v>
      </c>
      <c r="BM6" s="40" t="s">
        <v>0</v>
      </c>
      <c r="BN6" s="40">
        <f>(BH20+BI34+BJ34-BK35)</f>
        <v>8506.7999999999993</v>
      </c>
    </row>
    <row r="7" spans="1:69" ht="39.950000000000003" customHeight="1" x14ac:dyDescent="0.25">
      <c r="A7" s="68"/>
      <c r="B7" s="1"/>
      <c r="C7" s="2"/>
      <c r="D7" s="2"/>
      <c r="E7" s="3"/>
      <c r="F7" s="3"/>
      <c r="G7" s="14"/>
      <c r="H7" s="14"/>
      <c r="I7" s="3"/>
      <c r="J7" s="2"/>
      <c r="K7" s="5"/>
      <c r="L7" s="2"/>
      <c r="M7" s="2"/>
      <c r="N7" s="2"/>
      <c r="O7" s="2"/>
      <c r="P7" s="2"/>
      <c r="Q7" s="2"/>
      <c r="R7" s="2"/>
      <c r="S7" s="2"/>
      <c r="T7" s="6"/>
      <c r="U7" s="74"/>
      <c r="V7" s="7"/>
      <c r="W7" s="75"/>
      <c r="X7" s="15"/>
      <c r="Y7" s="16"/>
      <c r="Z7" s="17"/>
      <c r="AA7" s="66"/>
      <c r="AB7" s="34" t="s">
        <v>31</v>
      </c>
      <c r="AC7" s="35">
        <f t="shared" ca="1" si="0"/>
        <v>2304.7829550659189</v>
      </c>
      <c r="AD7" s="35">
        <f ca="1">COUNTIF(U1,"Ocak")*(AX15)
+COUNTIF(U1,"Şubat")*(AX16)
+COUNTIF(U1,"Mart")*(AX17)
+COUNTIF(U1,"Nisan")*(AX18)
+COUNTIF(U1,"Mayıs")*(AX19)
+COUNTIF(U1,"Haziran")*(AX20)
+COUNTIF(U1,"Temmuz")*(AX21)
+COUNTIF(U1,"Ağustos")*(AX22)
+COUNTIF(U1,"Eylül")*(AX23)
+COUNTIF(U1,"Ekim")*(AX24)
+COUNTIF(U1,"Kasım")*(AX25)
+COUNTIF(U1,"Aralık")*(AX26)
+COUNTIF(U1,"Yıllık Toplam")*(AX27)
+COUNTIF(U1,"Yıllık Ortalama")*(AX28)</f>
        <v>2304.7829550659189</v>
      </c>
      <c r="AE7" s="39">
        <v>5</v>
      </c>
      <c r="AF7" s="44">
        <v>2.5</v>
      </c>
      <c r="AG7" s="45">
        <v>7.0000000000000007E-2</v>
      </c>
      <c r="AH7" s="34" t="s">
        <v>82</v>
      </c>
      <c r="AI7" s="38">
        <v>469.14</v>
      </c>
      <c r="AJ7" s="38">
        <v>469.14</v>
      </c>
      <c r="AL7" s="39" t="s">
        <v>0</v>
      </c>
      <c r="AM7" s="39" t="s">
        <v>0</v>
      </c>
      <c r="AN7" s="40">
        <f>($AN$16)</f>
        <v>108.42100000000001</v>
      </c>
      <c r="AO7" s="40">
        <f>($AO$16)</f>
        <v>108.42100000000001</v>
      </c>
      <c r="AP7"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Q7" s="35">
        <f ca="1">(AP7*AM85)</f>
        <v>246.45171319999997</v>
      </c>
      <c r="AR7"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S7" s="40">
        <f ca="1">(AR7*AM85+BO50/30*-1+AI85/30)</f>
        <v>291.5177372</v>
      </c>
      <c r="AT7"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U7" s="40">
        <f ca="1">(AT7*AM85)</f>
        <v>246.45171319999997</v>
      </c>
      <c r="AV7" s="40">
        <f>(AT7*I21)</f>
        <v>0</v>
      </c>
      <c r="AW7" s="40">
        <f ca="1">(AV7*AM85)</f>
        <v>0</v>
      </c>
      <c r="AX7" s="41">
        <v>30</v>
      </c>
      <c r="AY7" s="40">
        <f>(915.05/30*AX7)</f>
        <v>915.05</v>
      </c>
      <c r="AZ7" s="40">
        <f ca="1">(AY7*AM85)</f>
        <v>615.28877049999994</v>
      </c>
      <c r="BA7" s="40">
        <f>($AO$16*M21)</f>
        <v>0</v>
      </c>
      <c r="BB7" s="40">
        <f ca="1">(BA7+(BA7*0.00759*-1)+((BA7-BC7)*0.14*-1)+((BA7-BC7)*0.01*-1)+(BA7+((BA7-BC7)*0.14*-1)+((BA7-BC7)*0.01*-1))*AL71*-1)</f>
        <v>0</v>
      </c>
      <c r="BC7" s="40">
        <f>($AO$4*M21)</f>
        <v>0</v>
      </c>
      <c r="BD7" s="40">
        <f>($AO$7*M21)</f>
        <v>0</v>
      </c>
      <c r="BE7" s="37" t="s">
        <v>1</v>
      </c>
      <c r="BF7" s="37" t="s">
        <v>1</v>
      </c>
      <c r="BG7" s="42">
        <f>COUNTIF(P21,"Yok")*(0)
+COUNTIF(P21,"Cenaze Yardımı (Eş-Çocuk)")*($AK$29)
+COUNTIF(P21,"Cenaze Yardımı (İşçi-İş Kazası Sonucu)")*($AK$30)
+COUNTIF(P21,"Cenaze Yardımı (İşçi-Tabii Sebepler Sonucu)")*($AK$31)
+COUNTIF(P21,"Doğum Yardımı (İşveren)")*($AK$32)
+COUNTIF(P21,"Evlilik Yardımı")*($AK$33)
+COUNTIF(BE7,"Yok")*(0)
+COUNTIF(BE7,"Cenaze Yardımı (Eş-Çocuk)")*($AK$29)
+COUNTIF(BE7,"Cenaze Yardımı (İşçi-İş Kazası Sonucu)")*($AK$30)
+COUNTIF(BE7,"Cenaze Yardımı (İşçi-Tabii Sebepler Sonucu)")*($AK$31)
+COUNTIF(BE7,"Doğum Yardımı (İşveren)")*($AK$32)
+COUNTIF(BE7,"Evlilik Yardımı")*($AK$33)
+COUNTIF(BF7,"Yok")*(0)
+COUNTIF(BF7,"Cenaze Yardımı (Eş-Çocuk)")*($AK$29)
+COUNTIF(BF7,"Cenaze Yardımı (İşçi-İş Kazası Sonucu)")*($AK$30)
+COUNTIF(BF7,"Cenaze Yardımı (İşçi-Tabii Sebepler Sonucu)")*($AK$31)
+COUNTIF(BF7,"Doğum Yardımı (İşveren)")*($AK$32)
+COUNTIF(BF7,"Evlilik Yardımı")*($AK$33)</f>
        <v>0</v>
      </c>
      <c r="BH7" s="42">
        <f>COUNTIF(P21,"Yok")*(0)
+COUNTIF(P21,"Cenaze Yardımı (Eş-Çocuk)")*($AK$29)
+COUNTIF(P21,"Cenaze Yardımı (İşçi-İş Kazası Sonucu)")*($AK$30)
+COUNTIF(P21,"Cenaze Yardımı (İşçi-Tabii Sebepler Sonucu)")*($AK$31)
+COUNTIF(P21,"Doğum Yardımı (İşveren)")*($AK$32)
+COUNTIF(P21,"Evlilik Yardımı")*($AK$33)
+COUNTIF(BE7,"Yok")*(0)
+COUNTIF(BE7,"Cenaze Yardımı (Eş-Çocuk)")*($AK$29)
+COUNTIF(BE7,"Cenaze Yardımı (İşçi-İş Kazası Sonucu)")*($AK$30)
+COUNTIF(BE7,"Cenaze Yardımı (İşçi-Tabii Sebepler Sonucu)")*($AK$31)
+COUNTIF(BE7,"Doğum Yardımı (İşveren)")*($AK$32)
+COUNTIF(BE7,"Evlilik Yardımı")*($AK$33)
+COUNTIF(BF7,"Yok")*(0)
+COUNTIF(BF7,"Cenaze Yardımı (Eş-Çocuk)")*($AK$29)
+COUNTIF(BF7,"Cenaze Yardımı (İşçi-İş Kazası Sonucu)")*($AK$30)
+COUNTIF(BF7,"Cenaze Yardımı (İşçi-Tabii Sebepler Sonucu)")*($AK$31)
+COUNTIF(BF7,"Doğum Yardımı (İşveren)")*($AK$32)
+COUNTIF(BF7,"Evlilik Yardımı")*($AK$33)</f>
        <v>0</v>
      </c>
      <c r="BI7" s="42">
        <f>COUNTIF(P21,"Yok")*(0)
+COUNTIF(P21,"Cenaze Yardımı (Eş-Çocuk)")*($AK$29-$AK$29*0.00759)
+COUNTIF(P21,"Cenaze Yardımı (İşçi-İş Kazası Sonucu)")*($AK$30-$AK$30*0.00759)
+COUNTIF(P21,"Cenaze Yardımı (İşçi-Tabii Sebepler Sonucu)")*($AK$31-$AK$31*0.00759)
+COUNTIF(P21,"Doğum Yardımı (İşveren)")*($AK$32-$AK$32*0.00759)
+COUNTIF(P21,"Evlilik Yardımı")*($AK$33-$AK$33*0.00759)
+COUNTIF(BE7,"Yok")*(0)
+COUNTIF(BE7,"Cenaze Yardımı (Eş-Çocuk)")*($AK$29-$AK$29*0.00759)
+COUNTIF(BE7,"Cenaze Yardımı (İşçi-İş Kazası Sonucu)")*($AK$30-$AK$30*0.00759)
+COUNTIF(BE7,"Cenaze Yardımı (İşçi-Tabii Sebepler Sonucu)")*($AK$31-$AK$31*0.00759)
+COUNTIF(BE7,"Doğum Yardımı (İşveren)")*($AK$32-$AK$32*0.00759)
+COUNTIF(BE7,"Evlilik Yardımı")*($AK$33-$AK$33*0.00759)
+COUNTIF(BF7,"Yok")*(0)
+COUNTIF(BF7,"Cenaze Yardımı (Eş-Çocuk)")*($AK$29-$AK$29*0.00759)
+COUNTIF(BF7,"Cenaze Yardımı (İşçi-İş Kazası Sonucu)")*($AK$30-$AK$30*0.00759)
+COUNTIF(BF7,"Cenaze Yardımı (İşçi-Tabii Sebepler Sonucu)")*($AK$31-$AK$31*0.00759)
+COUNTIF(BF7,"Doğum Yardımı (İşveren)")*($AK$32-$AK$32*0.00759)
+COUNTIF(BF7,"Evlilik Yardımı")*($AK$33-$AK$33*0.00759)</f>
        <v>0</v>
      </c>
      <c r="BJ7" s="40" t="s">
        <v>0</v>
      </c>
      <c r="BK7" s="40" t="s">
        <v>0</v>
      </c>
      <c r="BL7" s="40" t="s">
        <v>0</v>
      </c>
      <c r="BM7" s="40" t="s">
        <v>0</v>
      </c>
      <c r="BN7" s="40">
        <f>(BH21+BI35+BJ35-BK36)</f>
        <v>8506.7999999999993</v>
      </c>
    </row>
    <row r="8" spans="1:69" ht="39.950000000000003" customHeight="1" x14ac:dyDescent="0.25">
      <c r="A8" s="68"/>
      <c r="B8" s="1"/>
      <c r="C8" s="2"/>
      <c r="D8" s="2"/>
      <c r="E8" s="3"/>
      <c r="F8" s="3"/>
      <c r="G8" s="14"/>
      <c r="H8" s="14"/>
      <c r="I8" s="3"/>
      <c r="J8" s="2"/>
      <c r="K8" s="5"/>
      <c r="L8" s="2"/>
      <c r="M8" s="2"/>
      <c r="N8" s="2"/>
      <c r="O8" s="2"/>
      <c r="P8" s="2"/>
      <c r="Q8" s="2"/>
      <c r="R8" s="2"/>
      <c r="S8" s="2"/>
      <c r="T8" s="6"/>
      <c r="U8" s="74"/>
      <c r="V8" s="7"/>
      <c r="W8" s="75"/>
      <c r="X8" s="15"/>
      <c r="Y8" s="16"/>
      <c r="Z8" s="17"/>
      <c r="AA8" s="66"/>
      <c r="AB8" s="34" t="s">
        <v>36</v>
      </c>
      <c r="AC8" s="35">
        <f t="shared" ca="1" si="0"/>
        <v>15721.728791999998</v>
      </c>
      <c r="AD8" s="35">
        <f ca="1">COUNTIF(U1,"Ocak")*(AW1)
+COUNTIF(U1,"Şubat")*(AW2)
+COUNTIF(U1,"Mart")*(AW3)
+COUNTIF(U1,"Nisan")*(AW4)
+COUNTIF(U1,"Mayıs")*(AW5)
+COUNTIF(U1,"Haziran")*(AW6)
+COUNTIF(U1,"Temmuz")*(AW7)
+COUNTIF(U1,"Ağustos")*(AW8)
+COUNTIF(U1,"Eylül")*(AW9)
+COUNTIF(U1,"Ekim")*(AW10)
+COUNTIF(U1,"Kasım")*(AW11)
+COUNTIF(U1,"Aralık")*(AW12)
+COUNTIF(U1,"Yıllık Toplam")*(AW13)
+COUNTIF(U1,"Yıllık Ortalama")*(AW14)</f>
        <v>15721.728791999998</v>
      </c>
      <c r="AE8" s="39">
        <v>6</v>
      </c>
      <c r="AF8" s="44">
        <v>3</v>
      </c>
      <c r="AG8" s="45">
        <v>0.08</v>
      </c>
      <c r="AH8" s="34" t="s">
        <v>83</v>
      </c>
      <c r="AI8" s="35">
        <v>474.82</v>
      </c>
      <c r="AJ8" s="35">
        <v>474.82</v>
      </c>
      <c r="AL8" s="40" t="s">
        <v>0</v>
      </c>
      <c r="AM8" s="39" t="s">
        <v>0</v>
      </c>
      <c r="AN8" s="40">
        <v>10008</v>
      </c>
      <c r="AO8" s="40">
        <v>10008</v>
      </c>
      <c r="AP8"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Q8" s="35">
        <f ca="1">(AP8*AM86)</f>
        <v>246.45171319999997</v>
      </c>
      <c r="AR8"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S8" s="40">
        <f ca="1">(AR8*AM86+BO51/30*-1+AI86/30)</f>
        <v>291.5177372</v>
      </c>
      <c r="AT8"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U8" s="40">
        <f ca="1">(AT8*AM86)</f>
        <v>246.45171319999997</v>
      </c>
      <c r="AV8" s="40">
        <f>(AT8*I22)</f>
        <v>0</v>
      </c>
      <c r="AW8" s="40">
        <f ca="1">(AV8*AM86)</f>
        <v>0</v>
      </c>
      <c r="AX8" s="41">
        <v>30</v>
      </c>
      <c r="AY8" s="40">
        <f t="shared" ref="AY8:AY12" si="2">(915.05/30*AX8)</f>
        <v>915.05</v>
      </c>
      <c r="AZ8" s="40">
        <f ca="1">(AY8*AM86)</f>
        <v>615.28877049999994</v>
      </c>
      <c r="BA8" s="40">
        <f>($AO$16*M22)</f>
        <v>0</v>
      </c>
      <c r="BB8" s="40">
        <f ca="1">(BA8+(BA8*0.00759*-1)+((BA8-BC8)*0.14*-1)+((BA8-BC8)*0.01*-1)+(BA8+((BA8-BC8)*0.14*-1)+((BA8-BC8)*0.01*-1))*AL72*-1)</f>
        <v>0</v>
      </c>
      <c r="BC8" s="40">
        <f>($AO$4*M22)</f>
        <v>0</v>
      </c>
      <c r="BD8" s="40">
        <f>($AO$7*M22)</f>
        <v>0</v>
      </c>
      <c r="BE8" s="37" t="s">
        <v>1</v>
      </c>
      <c r="BF8" s="37" t="s">
        <v>1</v>
      </c>
      <c r="BG8" s="42">
        <f>COUNTIF(P22,"Yok")*(0)
+COUNTIF(P22,"Cenaze Yardımı (Eş-Çocuk)")*($AK$29)
+COUNTIF(P22,"Cenaze Yardımı (İşçi-İş Kazası Sonucu)")*($AK$30)
+COUNTIF(P22,"Cenaze Yardımı (İşçi-Tabii Sebepler Sonucu)")*($AK$31)
+COUNTIF(P22,"Doğum Yardımı (İşveren)")*($AK$32)
+COUNTIF(P22,"Evlilik Yardımı")*($AK$33)
+COUNTIF(BE8,"Yok")*(0)
+COUNTIF(BE8,"Cenaze Yardımı (Eş-Çocuk)")*($AK$29)
+COUNTIF(BE8,"Cenaze Yardımı (İşçi-İş Kazası Sonucu)")*($AK$30)
+COUNTIF(BE8,"Cenaze Yardımı (İşçi-Tabii Sebepler Sonucu)")*($AK$31)
+COUNTIF(BE8,"Doğum Yardımı (İşveren)")*($AK$32)
+COUNTIF(BE8,"Evlilik Yardımı")*($AK$33)
+COUNTIF(BF8,"Yok")*(0)
+COUNTIF(BF8,"Cenaze Yardımı (Eş-Çocuk)")*($AK$29)
+COUNTIF(BF8,"Cenaze Yardımı (İşçi-İş Kazası Sonucu)")*($AK$30)
+COUNTIF(BF8,"Cenaze Yardımı (İşçi-Tabii Sebepler Sonucu)")*($AK$31)
+COUNTIF(BF8,"Doğum Yardımı (İşveren)")*($AK$32)
+COUNTIF(BF8,"Evlilik Yardımı")*($AK$33)</f>
        <v>0</v>
      </c>
      <c r="BH8" s="42">
        <f>COUNTIF(P22,"Yok")*(0)
+COUNTIF(P22,"Cenaze Yardımı (Eş-Çocuk)")*($AK$29)
+COUNTIF(P22,"Cenaze Yardımı (İşçi-İş Kazası Sonucu)")*($AK$30)
+COUNTIF(P22,"Cenaze Yardımı (İşçi-Tabii Sebepler Sonucu)")*($AK$31)
+COUNTIF(P22,"Doğum Yardımı (İşveren)")*($AK$32)
+COUNTIF(P22,"Evlilik Yardımı")*($AK$33)
+COUNTIF(BE8,"Yok")*(0)
+COUNTIF(BE8,"Cenaze Yardımı (Eş-Çocuk)")*($AK$29)
+COUNTIF(BE8,"Cenaze Yardımı (İşçi-İş Kazası Sonucu)")*($AK$30)
+COUNTIF(BE8,"Cenaze Yardımı (İşçi-Tabii Sebepler Sonucu)")*($AK$31)
+COUNTIF(BE8,"Doğum Yardımı (İşveren)")*($AK$32)
+COUNTIF(BE8,"Evlilik Yardımı")*($AK$33)
+COUNTIF(BF8,"Yok")*(0)
+COUNTIF(BF8,"Cenaze Yardımı (Eş-Çocuk)")*($AK$29)
+COUNTIF(BF8,"Cenaze Yardımı (İşçi-İş Kazası Sonucu)")*($AK$30)
+COUNTIF(BF8,"Cenaze Yardımı (İşçi-Tabii Sebepler Sonucu)")*($AK$31)
+COUNTIF(BF8,"Doğum Yardımı (İşveren)")*($AK$32)
+COUNTIF(BF8,"Evlilik Yardımı")*($AK$33)</f>
        <v>0</v>
      </c>
      <c r="BI8" s="42">
        <f>COUNTIF(P22,"Yok")*(0)
+COUNTIF(P22,"Cenaze Yardımı (Eş-Çocuk)")*($AK$29-$AK$29*0.00759)
+COUNTIF(P22,"Cenaze Yardımı (İşçi-İş Kazası Sonucu)")*($AK$30-$AK$30*0.00759)
+COUNTIF(P22,"Cenaze Yardımı (İşçi-Tabii Sebepler Sonucu)")*($AK$31-$AK$31*0.00759)
+COUNTIF(P22,"Doğum Yardımı (İşveren)")*($AK$32-$AK$32*0.00759)
+COUNTIF(P22,"Evlilik Yardımı")*($AK$33-$AK$33*0.00759)
+COUNTIF(BE8,"Yok")*(0)
+COUNTIF(BE8,"Cenaze Yardımı (Eş-Çocuk)")*($AK$29-$AK$29*0.00759)
+COUNTIF(BE8,"Cenaze Yardımı (İşçi-İş Kazası Sonucu)")*($AK$30-$AK$30*0.00759)
+COUNTIF(BE8,"Cenaze Yardımı (İşçi-Tabii Sebepler Sonucu)")*($AK$31-$AK$31*0.00759)
+COUNTIF(BE8,"Doğum Yardımı (İşveren)")*($AK$32-$AK$32*0.00759)
+COUNTIF(BE8,"Evlilik Yardımı")*($AK$33-$AK$33*0.00759)
+COUNTIF(BF8,"Yok")*(0)
+COUNTIF(BF8,"Cenaze Yardımı (Eş-Çocuk)")*($AK$29-$AK$29*0.00759)
+COUNTIF(BF8,"Cenaze Yardımı (İşçi-İş Kazası Sonucu)")*($AK$30-$AK$30*0.00759)
+COUNTIF(BF8,"Cenaze Yardımı (İşçi-Tabii Sebepler Sonucu)")*($AK$31-$AK$31*0.00759)
+COUNTIF(BF8,"Doğum Yardımı (İşveren)")*($AK$32-$AK$32*0.00759)
+COUNTIF(BF8,"Evlilik Yardımı")*($AK$33-$AK$33*0.00759)</f>
        <v>0</v>
      </c>
      <c r="BJ8" s="40" t="s">
        <v>0</v>
      </c>
      <c r="BK8" s="40" t="s">
        <v>0</v>
      </c>
      <c r="BL8" s="40" t="s">
        <v>0</v>
      </c>
      <c r="BM8" s="40" t="s">
        <v>0</v>
      </c>
      <c r="BN8" s="40">
        <f>(BH22+BI36+BJ36-BK37)</f>
        <v>8506.7999999999993</v>
      </c>
    </row>
    <row r="9" spans="1:69" ht="39.950000000000003" customHeight="1" x14ac:dyDescent="0.25">
      <c r="A9" s="68"/>
      <c r="B9" s="1"/>
      <c r="C9" s="2"/>
      <c r="D9" s="2"/>
      <c r="E9" s="3"/>
      <c r="F9" s="3"/>
      <c r="G9" s="14"/>
      <c r="H9" s="14"/>
      <c r="I9" s="3"/>
      <c r="J9" s="2"/>
      <c r="K9" s="5"/>
      <c r="L9" s="2"/>
      <c r="M9" s="2"/>
      <c r="N9" s="2"/>
      <c r="O9" s="2"/>
      <c r="P9" s="2"/>
      <c r="Q9" s="2"/>
      <c r="R9" s="2"/>
      <c r="S9" s="2"/>
      <c r="T9" s="6"/>
      <c r="U9" s="74"/>
      <c r="V9" s="7"/>
      <c r="W9" s="75"/>
      <c r="X9" s="15"/>
      <c r="Y9" s="16"/>
      <c r="Z9" s="17"/>
      <c r="AA9" s="66"/>
      <c r="AB9" s="34" t="s">
        <v>8</v>
      </c>
      <c r="AC9" s="35">
        <f t="shared" ca="1" si="0"/>
        <v>7580.8470274373449</v>
      </c>
      <c r="AD9" s="35">
        <f ca="1">COUNTIF(U1,"Ocak")*(AZ1)
+COUNTIF(U1,"Şubat")*(AZ2)
+COUNTIF(U1,"Mart")*(AZ3)
+COUNTIF(U1,"Nisan")*(AZ4)
+COUNTIF(U1,"Mayıs")*(AZ5)
+COUNTIF(U1,"Haziran")*(AZ6)
+COUNTIF(U1,"Temmuz")*(AZ7)
+COUNTIF(U1,"Ağustos")*(AZ8)
+COUNTIF(U1,"Eylül")*(AZ9)
+COUNTIF(U1,"Ekim")*(AZ10)
+COUNTIF(U1,"Kasım")*(AZ11)
+COUNTIF(U1,"Aralık")*(AZ12)
+COUNTIF(U1,"Yıllık Toplam")*(AZ13)
+COUNTIF(U1,"Yıllık Ortalama")*(AZ14)</f>
        <v>7580.8470274373449</v>
      </c>
      <c r="AE9" s="39">
        <v>7</v>
      </c>
      <c r="AF9" s="44">
        <v>3.5</v>
      </c>
      <c r="AG9" s="45">
        <v>0.09</v>
      </c>
      <c r="AH9" s="34" t="s">
        <v>84</v>
      </c>
      <c r="AI9" s="35">
        <v>388.7</v>
      </c>
      <c r="AJ9" s="35">
        <v>388.7</v>
      </c>
      <c r="AL9" s="40" t="s">
        <v>0</v>
      </c>
      <c r="AM9" s="39" t="s">
        <v>0</v>
      </c>
      <c r="AN9" s="40">
        <v>0</v>
      </c>
      <c r="AO9" s="40">
        <v>0</v>
      </c>
      <c r="AP9"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Q9" s="35">
        <f ca="1">(AP9*AM87)</f>
        <v>246.45171319999997</v>
      </c>
      <c r="AR9"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S9" s="40">
        <f ca="1">(AR9*AM87+BO52/30*-1+AI87/30)</f>
        <v>302.45307053333329</v>
      </c>
      <c r="AT9"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U9" s="40">
        <f ca="1">(AT9*AM87)</f>
        <v>246.45171319999997</v>
      </c>
      <c r="AV9" s="40">
        <f>(AT9*I23)</f>
        <v>0</v>
      </c>
      <c r="AW9" s="40">
        <f ca="1">(AV9*AM87)</f>
        <v>0</v>
      </c>
      <c r="AX9" s="41">
        <v>30</v>
      </c>
      <c r="AY9" s="40">
        <f t="shared" si="2"/>
        <v>915.05</v>
      </c>
      <c r="AZ9" s="40">
        <f ca="1">(AY9*AM87)</f>
        <v>615.28877049999994</v>
      </c>
      <c r="BA9" s="40">
        <f>($AO$16*M23)</f>
        <v>0</v>
      </c>
      <c r="BB9" s="40">
        <f ca="1">(BA9+(BA9*0.00759*-1)+((BA9-BC9)*0.14*-1)+((BA9-BC9)*0.01*-1)+(BA9+((BA9-BC9)*0.14*-1)+((BA9-BC9)*0.01*-1))*AL73*-1)</f>
        <v>0</v>
      </c>
      <c r="BC9" s="40">
        <f>($AO$4*M23)</f>
        <v>0</v>
      </c>
      <c r="BD9" s="40">
        <f>($AO$7*M23)</f>
        <v>0</v>
      </c>
      <c r="BE9" s="37" t="s">
        <v>1</v>
      </c>
      <c r="BF9" s="37" t="s">
        <v>1</v>
      </c>
      <c r="BG9" s="42">
        <f>COUNTIF(P23,"Yok")*(0)
+COUNTIF(P23,"Cenaze Yardımı (Eş-Çocuk)")*($AK$29)
+COUNTIF(P23,"Cenaze Yardımı (İşçi-İş Kazası Sonucu)")*($AK$30)
+COUNTIF(P23,"Cenaze Yardımı (İşçi-Tabii Sebepler Sonucu)")*($AK$31)
+COUNTIF(P23,"Doğum Yardımı (İşveren)")*($AK$32)
+COUNTIF(P23,"Evlilik Yardımı")*($AK$33)
+COUNTIF(BE9,"Yok")*(0)
+COUNTIF(BE9,"Cenaze Yardımı (Eş-Çocuk)")*($AK$29)
+COUNTIF(BE9,"Cenaze Yardımı (İşçi-İş Kazası Sonucu)")*($AK$30)
+COUNTIF(BE9,"Cenaze Yardımı (İşçi-Tabii Sebepler Sonucu)")*($AK$31)
+COUNTIF(BE9,"Doğum Yardımı (İşveren)")*($AK$32)
+COUNTIF(BE9,"Evlilik Yardımı")*($AK$33)
+COUNTIF(BF9,"Yok")*(0)
+COUNTIF(BF9,"Cenaze Yardımı (Eş-Çocuk)")*($AK$29)
+COUNTIF(BF9,"Cenaze Yardımı (İşçi-İş Kazası Sonucu)")*($AK$30)
+COUNTIF(BF9,"Cenaze Yardımı (İşçi-Tabii Sebepler Sonucu)")*($AK$31)
+COUNTIF(BF9,"Doğum Yardımı (İşveren)")*($AK$32)
+COUNTIF(BF9,"Evlilik Yardımı")*($AK$33)</f>
        <v>0</v>
      </c>
      <c r="BH9" s="42">
        <f>COUNTIF(P23,"Yok")*(0)
+COUNTIF(P23,"Cenaze Yardımı (Eş-Çocuk)")*($AK$29)
+COUNTIF(P23,"Cenaze Yardımı (İşçi-İş Kazası Sonucu)")*($AK$30)
+COUNTIF(P23,"Cenaze Yardımı (İşçi-Tabii Sebepler Sonucu)")*($AK$31)
+COUNTIF(P23,"Doğum Yardımı (İşveren)")*($AK$32)
+COUNTIF(P23,"Evlilik Yardımı")*($AK$33)
+COUNTIF(BE9,"Yok")*(0)
+COUNTIF(BE9,"Cenaze Yardımı (Eş-Çocuk)")*($AK$29)
+COUNTIF(BE9,"Cenaze Yardımı (İşçi-İş Kazası Sonucu)")*($AK$30)
+COUNTIF(BE9,"Cenaze Yardımı (İşçi-Tabii Sebepler Sonucu)")*($AK$31)
+COUNTIF(BE9,"Doğum Yardımı (İşveren)")*($AK$32)
+COUNTIF(BE9,"Evlilik Yardımı")*($AK$33)
+COUNTIF(BF9,"Yok")*(0)
+COUNTIF(BF9,"Cenaze Yardımı (Eş-Çocuk)")*($AK$29)
+COUNTIF(BF9,"Cenaze Yardımı (İşçi-İş Kazası Sonucu)")*($AK$30)
+COUNTIF(BF9,"Cenaze Yardımı (İşçi-Tabii Sebepler Sonucu)")*($AK$31)
+COUNTIF(BF9,"Doğum Yardımı (İşveren)")*($AK$32)
+COUNTIF(BF9,"Evlilik Yardımı")*($AK$33)</f>
        <v>0</v>
      </c>
      <c r="BI9" s="42">
        <f>COUNTIF(P23,"Yok")*(0)
+COUNTIF(P23,"Cenaze Yardımı (Eş-Çocuk)")*($AK$29-$AK$29*0.00759)
+COUNTIF(P23,"Cenaze Yardımı (İşçi-İş Kazası Sonucu)")*($AK$30-$AK$30*0.00759)
+COUNTIF(P23,"Cenaze Yardımı (İşçi-Tabii Sebepler Sonucu)")*($AK$31-$AK$31*0.00759)
+COUNTIF(P23,"Doğum Yardımı (İşveren)")*($AK$32-$AK$32*0.00759)
+COUNTIF(P23,"Evlilik Yardımı")*($AK$33-$AK$33*0.00759)
+COUNTIF(BE9,"Yok")*(0)
+COUNTIF(BE9,"Cenaze Yardımı (Eş-Çocuk)")*($AK$29-$AK$29*0.00759)
+COUNTIF(BE9,"Cenaze Yardımı (İşçi-İş Kazası Sonucu)")*($AK$30-$AK$30*0.00759)
+COUNTIF(BE9,"Cenaze Yardımı (İşçi-Tabii Sebepler Sonucu)")*($AK$31-$AK$31*0.00759)
+COUNTIF(BE9,"Doğum Yardımı (İşveren)")*($AK$32-$AK$32*0.00759)
+COUNTIF(BE9,"Evlilik Yardımı")*($AK$33-$AK$33*0.00759)
+COUNTIF(BF9,"Yok")*(0)
+COUNTIF(BF9,"Cenaze Yardımı (Eş-Çocuk)")*($AK$29-$AK$29*0.00759)
+COUNTIF(BF9,"Cenaze Yardımı (İşçi-İş Kazası Sonucu)")*($AK$30-$AK$30*0.00759)
+COUNTIF(BF9,"Cenaze Yardımı (İşçi-Tabii Sebepler Sonucu)")*($AK$31-$AK$31*0.00759)
+COUNTIF(BF9,"Doğum Yardımı (İşveren)")*($AK$32-$AK$32*0.00759)
+COUNTIF(BF9,"Evlilik Yardımı")*($AK$33-$AK$33*0.00759)</f>
        <v>0</v>
      </c>
      <c r="BJ9" s="40" t="s">
        <v>0</v>
      </c>
      <c r="BK9" s="40" t="s">
        <v>0</v>
      </c>
      <c r="BL9" s="40" t="s">
        <v>0</v>
      </c>
      <c r="BM9" s="40" t="s">
        <v>0</v>
      </c>
      <c r="BN9" s="40">
        <f>(BH23+BI37+BJ37-BK38)</f>
        <v>8506.7999999999993</v>
      </c>
    </row>
    <row r="10" spans="1:69" ht="39.950000000000003" customHeight="1" x14ac:dyDescent="0.25">
      <c r="A10" s="68"/>
      <c r="B10" s="1"/>
      <c r="C10" s="2"/>
      <c r="D10" s="2"/>
      <c r="E10" s="3"/>
      <c r="F10" s="3"/>
      <c r="G10" s="14"/>
      <c r="H10" s="14"/>
      <c r="I10" s="3"/>
      <c r="J10" s="2"/>
      <c r="K10" s="5"/>
      <c r="L10" s="2"/>
      <c r="M10" s="2"/>
      <c r="N10" s="2"/>
      <c r="O10" s="2"/>
      <c r="P10" s="2"/>
      <c r="Q10" s="2"/>
      <c r="R10" s="2"/>
      <c r="S10" s="2"/>
      <c r="T10" s="6"/>
      <c r="U10" s="74"/>
      <c r="V10" s="7"/>
      <c r="W10" s="75"/>
      <c r="X10" s="15"/>
      <c r="Y10" s="16"/>
      <c r="Z10" s="17"/>
      <c r="AA10" s="66"/>
      <c r="AB10" s="34" t="s">
        <v>103</v>
      </c>
      <c r="AC10" s="35">
        <f t="shared" ref="AC10" ca="1" si="3">IF(AD10&gt;0,AD10,AD10*-1)</f>
        <v>0</v>
      </c>
      <c r="AD10" s="35">
        <f ca="1">COUNTIF(U1,"Ocak")*(AZ15)
+COUNTIF(U1,"Şubat")*(AZ16)
+COUNTIF(U1,"Mart")*(AZ17)
+COUNTIF(U1,"Nisan")*(AZ18)
+COUNTIF(U1,"Mayıs")*(AZ19)
+COUNTIF(U1,"Haziran")*(AZ20)
+COUNTIF(U1,"Temmuz")*(AZ21)
+COUNTIF(U1,"Ağustos")*(AZ22)
+COUNTIF(U1,"Eylül")*(AZ23)
+COUNTIF(U1,"Ekim")*(AZ24)
+COUNTIF(U1,"Kasım")*(AZ25)
+COUNTIF(U1,"Aralık")*(AZ26)
+COUNTIF(U1,"Yıllık Toplam")*(AZ27)
+COUNTIF(U1,"Yıllık Ortalama")*(AZ28)</f>
        <v>0</v>
      </c>
      <c r="AE10" s="39">
        <v>8</v>
      </c>
      <c r="AF10" s="44">
        <v>4</v>
      </c>
      <c r="AG10" s="45">
        <v>0.1</v>
      </c>
      <c r="AH10" s="34" t="s">
        <v>85</v>
      </c>
      <c r="AI10" s="35">
        <v>388.06</v>
      </c>
      <c r="AJ10" s="35">
        <v>388.06</v>
      </c>
      <c r="AL10" s="40" t="s">
        <v>0</v>
      </c>
      <c r="AM10" s="39" t="s">
        <v>0</v>
      </c>
      <c r="AN10" s="40">
        <v>56</v>
      </c>
      <c r="AO10" s="40">
        <v>56</v>
      </c>
      <c r="AP10"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Q10" s="35">
        <f ca="1">(AP10*AM88)</f>
        <v>246.45171319999997</v>
      </c>
      <c r="AR10"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S10" s="40">
        <f ca="1">(AR10*AM88+BO53/30*-1+AI88/30)</f>
        <v>305.6957372</v>
      </c>
      <c r="AT10"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U10" s="40">
        <f ca="1">(AT10*AM88)</f>
        <v>246.45171319999997</v>
      </c>
      <c r="AV10" s="40">
        <f>(AT10*I24)</f>
        <v>0</v>
      </c>
      <c r="AW10" s="40">
        <f ca="1">(AV10*AM88)</f>
        <v>0</v>
      </c>
      <c r="AX10" s="41">
        <v>30</v>
      </c>
      <c r="AY10" s="40">
        <f t="shared" si="2"/>
        <v>915.05</v>
      </c>
      <c r="AZ10" s="40">
        <f ca="1">(AY10*AM88)</f>
        <v>615.28877049999994</v>
      </c>
      <c r="BA10" s="40">
        <f>($AO$16*M24)</f>
        <v>0</v>
      </c>
      <c r="BB10" s="40">
        <f ca="1">(BA10+(BA10*0.00759*-1)+((BA10-BC10)*0.14*-1)+((BA10-BC10)*0.01*-1)+(BA10+((BA10-BC10)*0.14*-1)+((BA10-BC10)*0.01*-1))*AL74*-1)</f>
        <v>0</v>
      </c>
      <c r="BC10" s="40">
        <f>($AO$4*M24)</f>
        <v>0</v>
      </c>
      <c r="BD10" s="40">
        <f>($AO$7*M24)</f>
        <v>0</v>
      </c>
      <c r="BE10" s="37" t="s">
        <v>1</v>
      </c>
      <c r="BF10" s="37" t="s">
        <v>1</v>
      </c>
      <c r="BG10" s="42">
        <f>COUNTIF(P24,"Yok")*(0)
+COUNTIF(P24,"Cenaze Yardımı (Eş-Çocuk)")*($AK$29)
+COUNTIF(P24,"Cenaze Yardımı (İşçi-İş Kazası Sonucu)")*($AK$30)
+COUNTIF(P24,"Cenaze Yardımı (İşçi-Tabii Sebepler Sonucu)")*($AK$31)
+COUNTIF(P24,"Doğum Yardımı (İşveren)")*($AK$32)
+COUNTIF(P24,"Evlilik Yardımı")*($AK$33)
+COUNTIF(BE10,"Yok")*(0)
+COUNTIF(BE10,"Cenaze Yardımı (Eş-Çocuk)")*($AK$29)
+COUNTIF(BE10,"Cenaze Yardımı (İşçi-İş Kazası Sonucu)")*($AK$30)
+COUNTIF(BE10,"Cenaze Yardımı (İşçi-Tabii Sebepler Sonucu)")*($AK$31)
+COUNTIF(BE10,"Doğum Yardımı (İşveren)")*($AK$32)
+COUNTIF(BE10,"Evlilik Yardımı")*($AK$33)
+COUNTIF(BF10,"Yok")*(0)
+COUNTIF(BF10,"Cenaze Yardımı (Eş-Çocuk)")*($AK$29)
+COUNTIF(BF10,"Cenaze Yardımı (İşçi-İş Kazası Sonucu)")*($AK$30)
+COUNTIF(BF10,"Cenaze Yardımı (İşçi-Tabii Sebepler Sonucu)")*($AK$31)
+COUNTIF(BF10,"Doğum Yardımı (İşveren)")*($AK$32)
+COUNTIF(BF10,"Evlilik Yardımı")*($AK$33)</f>
        <v>0</v>
      </c>
      <c r="BH10" s="42">
        <f>COUNTIF(P24,"Yok")*(0)
+COUNTIF(P24,"Cenaze Yardımı (Eş-Çocuk)")*($AK$29)
+COUNTIF(P24,"Cenaze Yardımı (İşçi-İş Kazası Sonucu)")*($AK$30)
+COUNTIF(P24,"Cenaze Yardımı (İşçi-Tabii Sebepler Sonucu)")*($AK$31)
+COUNTIF(P24,"Doğum Yardımı (İşveren)")*($AK$32)
+COUNTIF(P24,"Evlilik Yardımı")*($AK$33)
+COUNTIF(BE10,"Yok")*(0)
+COUNTIF(BE10,"Cenaze Yardımı (Eş-Çocuk)")*($AK$29)
+COUNTIF(BE10,"Cenaze Yardımı (İşçi-İş Kazası Sonucu)")*($AK$30)
+COUNTIF(BE10,"Cenaze Yardımı (İşçi-Tabii Sebepler Sonucu)")*($AK$31)
+COUNTIF(BE10,"Doğum Yardımı (İşveren)")*($AK$32)
+COUNTIF(BE10,"Evlilik Yardımı")*($AK$33)
+COUNTIF(BF10,"Yok")*(0)
+COUNTIF(BF10,"Cenaze Yardımı (Eş-Çocuk)")*($AK$29)
+COUNTIF(BF10,"Cenaze Yardımı (İşçi-İş Kazası Sonucu)")*($AK$30)
+COUNTIF(BF10,"Cenaze Yardımı (İşçi-Tabii Sebepler Sonucu)")*($AK$31)
+COUNTIF(BF10,"Doğum Yardımı (İşveren)")*($AK$32)
+COUNTIF(BF10,"Evlilik Yardımı")*($AK$33)</f>
        <v>0</v>
      </c>
      <c r="BI10" s="42">
        <f>COUNTIF(P24,"Yok")*(0)
+COUNTIF(P24,"Cenaze Yardımı (Eş-Çocuk)")*($AK$29-$AK$29*0.00759)
+COUNTIF(P24,"Cenaze Yardımı (İşçi-İş Kazası Sonucu)")*($AK$30-$AK$30*0.00759)
+COUNTIF(P24,"Cenaze Yardımı (İşçi-Tabii Sebepler Sonucu)")*($AK$31-$AK$31*0.00759)
+COUNTIF(P24,"Doğum Yardımı (İşveren)")*($AK$32-$AK$32*0.00759)
+COUNTIF(P24,"Evlilik Yardımı")*($AK$33-$AK$33*0.00759)
+COUNTIF(BE10,"Yok")*(0)
+COUNTIF(BE10,"Cenaze Yardımı (Eş-Çocuk)")*($AK$29-$AK$29*0.00759)
+COUNTIF(BE10,"Cenaze Yardımı (İşçi-İş Kazası Sonucu)")*($AK$30-$AK$30*0.00759)
+COUNTIF(BE10,"Cenaze Yardımı (İşçi-Tabii Sebepler Sonucu)")*($AK$31-$AK$31*0.00759)
+COUNTIF(BE10,"Doğum Yardımı (İşveren)")*($AK$32-$AK$32*0.00759)
+COUNTIF(BE10,"Evlilik Yardımı")*($AK$33-$AK$33*0.00759)
+COUNTIF(BF10,"Yok")*(0)
+COUNTIF(BF10,"Cenaze Yardımı (Eş-Çocuk)")*($AK$29-$AK$29*0.00759)
+COUNTIF(BF10,"Cenaze Yardımı (İşçi-İş Kazası Sonucu)")*($AK$30-$AK$30*0.00759)
+COUNTIF(BF10,"Cenaze Yardımı (İşçi-Tabii Sebepler Sonucu)")*($AK$31-$AK$31*0.00759)
+COUNTIF(BF10,"Doğum Yardımı (İşveren)")*($AK$32-$AK$32*0.00759)
+COUNTIF(BF10,"Evlilik Yardımı")*($AK$33-$AK$33*0.00759)</f>
        <v>0</v>
      </c>
      <c r="BJ10" s="40" t="s">
        <v>0</v>
      </c>
      <c r="BK10" s="40" t="s">
        <v>0</v>
      </c>
      <c r="BL10" s="40" t="s">
        <v>0</v>
      </c>
      <c r="BM10" s="40" t="s">
        <v>0</v>
      </c>
      <c r="BN10" s="40">
        <f>(BH24+BI38+BJ38-BK39)</f>
        <v>8506.7999999999993</v>
      </c>
    </row>
    <row r="11" spans="1:69" ht="39.950000000000003" customHeight="1" x14ac:dyDescent="0.25">
      <c r="A11" s="68"/>
      <c r="B11" s="1"/>
      <c r="C11" s="2"/>
      <c r="D11" s="2"/>
      <c r="E11" s="3"/>
      <c r="F11" s="3"/>
      <c r="G11" s="14"/>
      <c r="H11" s="14"/>
      <c r="I11" s="3"/>
      <c r="J11" s="2"/>
      <c r="K11" s="5"/>
      <c r="L11" s="2"/>
      <c r="M11" s="2"/>
      <c r="N11" s="2"/>
      <c r="O11" s="2"/>
      <c r="P11" s="2"/>
      <c r="Q11" s="2"/>
      <c r="R11" s="2"/>
      <c r="S11" s="2"/>
      <c r="T11" s="6"/>
      <c r="U11" s="74"/>
      <c r="V11" s="7"/>
      <c r="W11" s="75"/>
      <c r="X11" s="15"/>
      <c r="Y11" s="16"/>
      <c r="Z11" s="17"/>
      <c r="AA11" s="66"/>
      <c r="AB11" s="34" t="s">
        <v>74</v>
      </c>
      <c r="AC11" s="35">
        <f ca="1">IF(AD11&gt;0,AD11,AD11*-1)</f>
        <v>0</v>
      </c>
      <c r="AD11" s="35">
        <f ca="1">COUNTIF(U1,"Ocak")*(AW29)
+COUNTIF(U1,"Şubat")*(AW30)
+COUNTIF(U1,"Mart")*(AW31)
+COUNTIF(U1,"Nisan")*(AW32)
+COUNTIF(U1,"Mayıs")*(AW33)
+COUNTIF(U1,"Haziran")*(AW34)
+COUNTIF(U1,"Temmuz")*(AW35)
+COUNTIF(U1,"Ağustos")*(AW36)
+COUNTIF(U1,"Eylül")*(AW37)
+COUNTIF(U1,"Ekim")*(AW38)
+COUNTIF(U1,"Kasım")*(AW39)
+COUNTIF(U1,"Aralık")*(AW40)
+COUNTIF(U1,"Yıllık Toplam")*(AW41)
+COUNTIF(U1,"Yıllık Ortalama")*(AW42)</f>
        <v>0</v>
      </c>
      <c r="AE11" s="39">
        <v>9</v>
      </c>
      <c r="AF11" s="44">
        <v>4.5</v>
      </c>
      <c r="AG11" s="45">
        <v>0.11</v>
      </c>
      <c r="AH11" s="34" t="s">
        <v>86</v>
      </c>
      <c r="AI11" s="35">
        <v>388.7</v>
      </c>
      <c r="AJ11" s="35">
        <v>388.7</v>
      </c>
      <c r="AL11" s="46">
        <f>(23.65%)</f>
        <v>0.23649999999999999</v>
      </c>
      <c r="AM11" s="39" t="s">
        <v>0</v>
      </c>
      <c r="AN11" s="35">
        <v>78.900000000000006</v>
      </c>
      <c r="AO11" s="35">
        <v>78.900000000000006</v>
      </c>
      <c r="AP11"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Q11" s="35">
        <f ca="1">(AP11*AM89)</f>
        <v>246.45171319999997</v>
      </c>
      <c r="AR11"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S11" s="40">
        <f ca="1">(AR11*AM89+BO54/30*-1+AI89/30)</f>
        <v>305.6957372</v>
      </c>
      <c r="AT11"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U11" s="40">
        <f ca="1">(AT11*AM89)</f>
        <v>246.45171319999997</v>
      </c>
      <c r="AV11" s="40">
        <f>(AT11*I25)</f>
        <v>0</v>
      </c>
      <c r="AW11" s="40">
        <f ca="1">(AV11*AM89)</f>
        <v>0</v>
      </c>
      <c r="AX11" s="41">
        <v>30</v>
      </c>
      <c r="AY11" s="40">
        <f t="shared" si="2"/>
        <v>915.05</v>
      </c>
      <c r="AZ11" s="40">
        <f ca="1">(AY11*AM89)</f>
        <v>615.28877049999994</v>
      </c>
      <c r="BA11" s="40">
        <f>($AO$16*M25)</f>
        <v>0</v>
      </c>
      <c r="BB11" s="40">
        <f ca="1">(BA11+(BA11*0.00759*-1)+((BA11-BC11)*0.14*-1)+((BA11-BC11)*0.01*-1)+(BA11+((BA11-BC11)*0.14*-1)+((BA11-BC11)*0.01*-1))*AL75*-1)</f>
        <v>0</v>
      </c>
      <c r="BC11" s="40">
        <f>($AO$4*M25)</f>
        <v>0</v>
      </c>
      <c r="BD11" s="40">
        <f>($AO$7*M25)</f>
        <v>0</v>
      </c>
      <c r="BE11" s="37" t="s">
        <v>1</v>
      </c>
      <c r="BF11" s="37" t="s">
        <v>1</v>
      </c>
      <c r="BG11" s="42">
        <f>COUNTIF(P25,"Yok")*(0)
+COUNTIF(P25,"Cenaze Yardımı (Eş-Çocuk)")*($AK$29)
+COUNTIF(P25,"Cenaze Yardımı (İşçi-İş Kazası Sonucu)")*($AK$30)
+COUNTIF(P25,"Cenaze Yardımı (İşçi-Tabii Sebepler Sonucu)")*($AK$31)
+COUNTIF(P25,"Doğum Yardımı (İşveren)")*($AK$32)
+COUNTIF(P25,"Evlilik Yardımı")*($AK$33)
+COUNTIF(BE11,"Yok")*(0)
+COUNTIF(BE11,"Cenaze Yardımı (Eş-Çocuk)")*($AK$29)
+COUNTIF(BE11,"Cenaze Yardımı (İşçi-İş Kazası Sonucu)")*($AK$30)
+COUNTIF(BE11,"Cenaze Yardımı (İşçi-Tabii Sebepler Sonucu)")*($AK$31)
+COUNTIF(BE11,"Doğum Yardımı (İşveren)")*($AK$32)
+COUNTIF(BE11,"Evlilik Yardımı")*($AK$33)
+COUNTIF(BF11,"Yok")*(0)
+COUNTIF(BF11,"Cenaze Yardımı (Eş-Çocuk)")*($AK$29)
+COUNTIF(BF11,"Cenaze Yardımı (İşçi-İş Kazası Sonucu)")*($AK$30)
+COUNTIF(BF11,"Cenaze Yardımı (İşçi-Tabii Sebepler Sonucu)")*($AK$31)
+COUNTIF(BF11,"Doğum Yardımı (İşveren)")*($AK$32)
+COUNTIF(BF11,"Evlilik Yardımı")*($AK$33)</f>
        <v>0</v>
      </c>
      <c r="BH11" s="42">
        <f>COUNTIF(P25,"Yok")*(0)
+COUNTIF(P25,"Cenaze Yardımı (Eş-Çocuk)")*($AK$29)
+COUNTIF(P25,"Cenaze Yardımı (İşçi-İş Kazası Sonucu)")*($AK$30)
+COUNTIF(P25,"Cenaze Yardımı (İşçi-Tabii Sebepler Sonucu)")*($AK$31)
+COUNTIF(P25,"Doğum Yardımı (İşveren)")*($AK$32)
+COUNTIF(P25,"Evlilik Yardımı")*($AK$33)
+COUNTIF(BE11,"Yok")*(0)
+COUNTIF(BE11,"Cenaze Yardımı (Eş-Çocuk)")*($AK$29)
+COUNTIF(BE11,"Cenaze Yardımı (İşçi-İş Kazası Sonucu)")*($AK$30)
+COUNTIF(BE11,"Cenaze Yardımı (İşçi-Tabii Sebepler Sonucu)")*($AK$31)
+COUNTIF(BE11,"Doğum Yardımı (İşveren)")*($AK$32)
+COUNTIF(BE11,"Evlilik Yardımı")*($AK$33)
+COUNTIF(BF11,"Yok")*(0)
+COUNTIF(BF11,"Cenaze Yardımı (Eş-Çocuk)")*($AK$29)
+COUNTIF(BF11,"Cenaze Yardımı (İşçi-İş Kazası Sonucu)")*($AK$30)
+COUNTIF(BF11,"Cenaze Yardımı (İşçi-Tabii Sebepler Sonucu)")*($AK$31)
+COUNTIF(BF11,"Doğum Yardımı (İşveren)")*($AK$32)
+COUNTIF(BF11,"Evlilik Yardımı")*($AK$33)</f>
        <v>0</v>
      </c>
      <c r="BI11" s="42">
        <f>COUNTIF(P25,"Yok")*(0)
+COUNTIF(P25,"Cenaze Yardımı (Eş-Çocuk)")*($AK$29-$AK$29*0.00759)
+COUNTIF(P25,"Cenaze Yardımı (İşçi-İş Kazası Sonucu)")*($AK$30-$AK$30*0.00759)
+COUNTIF(P25,"Cenaze Yardımı (İşçi-Tabii Sebepler Sonucu)")*($AK$31-$AK$31*0.00759)
+COUNTIF(P25,"Doğum Yardımı (İşveren)")*($AK$32-$AK$32*0.00759)
+COUNTIF(P25,"Evlilik Yardımı")*($AK$33-$AK$33*0.00759)
+COUNTIF(BE11,"Yok")*(0)
+COUNTIF(BE11,"Cenaze Yardımı (Eş-Çocuk)")*($AK$29-$AK$29*0.00759)
+COUNTIF(BE11,"Cenaze Yardımı (İşçi-İş Kazası Sonucu)")*($AK$30-$AK$30*0.00759)
+COUNTIF(BE11,"Cenaze Yardımı (İşçi-Tabii Sebepler Sonucu)")*($AK$31-$AK$31*0.00759)
+COUNTIF(BE11,"Doğum Yardımı (İşveren)")*($AK$32-$AK$32*0.00759)
+COUNTIF(BE11,"Evlilik Yardımı")*($AK$33-$AK$33*0.00759)
+COUNTIF(BF11,"Yok")*(0)
+COUNTIF(BF11,"Cenaze Yardımı (Eş-Çocuk)")*($AK$29-$AK$29*0.00759)
+COUNTIF(BF11,"Cenaze Yardımı (İşçi-İş Kazası Sonucu)")*($AK$30-$AK$30*0.00759)
+COUNTIF(BF11,"Cenaze Yardımı (İşçi-Tabii Sebepler Sonucu)")*($AK$31-$AK$31*0.00759)
+COUNTIF(BF11,"Doğum Yardımı (İşveren)")*($AK$32-$AK$32*0.00759)
+COUNTIF(BF11,"Evlilik Yardımı")*($AK$33-$AK$33*0.00759)</f>
        <v>0</v>
      </c>
      <c r="BJ11" s="40" t="s">
        <v>0</v>
      </c>
      <c r="BK11" s="40" t="s">
        <v>0</v>
      </c>
      <c r="BL11" s="40" t="s">
        <v>0</v>
      </c>
      <c r="BM11" s="40" t="s">
        <v>0</v>
      </c>
      <c r="BN11" s="40">
        <f>(BH25+BI39+BJ39-BK40)</f>
        <v>8506.7999999999993</v>
      </c>
    </row>
    <row r="12" spans="1:69" ht="39.950000000000003" customHeight="1" x14ac:dyDescent="0.25">
      <c r="A12" s="68"/>
      <c r="B12" s="1"/>
      <c r="C12" s="2"/>
      <c r="D12" s="2"/>
      <c r="E12" s="3"/>
      <c r="F12" s="3"/>
      <c r="G12" s="14"/>
      <c r="H12" s="14"/>
      <c r="I12" s="3"/>
      <c r="J12" s="2"/>
      <c r="K12" s="5"/>
      <c r="L12" s="2"/>
      <c r="M12" s="2"/>
      <c r="N12" s="2"/>
      <c r="O12" s="2"/>
      <c r="P12" s="2"/>
      <c r="Q12" s="2"/>
      <c r="R12" s="2"/>
      <c r="S12" s="2"/>
      <c r="T12" s="6"/>
      <c r="U12" s="74"/>
      <c r="V12" s="7"/>
      <c r="W12" s="75"/>
      <c r="X12" s="15"/>
      <c r="Y12" s="16"/>
      <c r="Z12" s="17"/>
      <c r="AA12" s="66"/>
      <c r="AB12" s="34" t="s">
        <v>75</v>
      </c>
      <c r="AC12" s="35">
        <f ca="1">IF(AD12&gt;0,AD12,AD12*-1)</f>
        <v>0</v>
      </c>
      <c r="AD12" s="35">
        <f ca="1">COUNTIF(U1,"Ocak")*(BB43)
+COUNTIF(U1,"Şubat")*(BB44)
+COUNTIF(U1,"Mart")*(BB45)
+COUNTIF(U1,"Nisan")*(BB46)
+COUNTIF(U1,"Mayıs")*(BB47)
+COUNTIF(U1,"Haziran")*(BB48)
+COUNTIF(U1,"Temmuz")*(BB49)
+COUNTIF(U1,"Ağustos")*(BB50)
+COUNTIF(U1,"Eylül")*(BB51)
+COUNTIF(U1,"Ekim")*(BB52)
+COUNTIF(U1,"Kasım")*(BB53)
+COUNTIF(U1,"Aralık")*(BB54)
+COUNTIF(U1,"Yıllık Toplam")*(BB55)
+COUNTIF(U1,"Yıllık Ortalama")*(BB56)</f>
        <v>0</v>
      </c>
      <c r="AE12" s="39">
        <v>10</v>
      </c>
      <c r="AF12" s="44">
        <v>5</v>
      </c>
      <c r="AG12" s="45">
        <v>0.12</v>
      </c>
      <c r="AH12" s="34" t="s">
        <v>87</v>
      </c>
      <c r="AI12" s="35">
        <v>382.3</v>
      </c>
      <c r="AJ12" s="35">
        <v>382.3</v>
      </c>
      <c r="AL12" s="40" t="s">
        <v>0</v>
      </c>
      <c r="AM12" s="39" t="s">
        <v>0</v>
      </c>
      <c r="AN12" s="40">
        <v>110</v>
      </c>
      <c r="AO12" s="40">
        <v>110</v>
      </c>
      <c r="AP12"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Q12" s="35">
        <f ca="1">(AP12*AM90)</f>
        <v>246.45171319999997</v>
      </c>
      <c r="AR12"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S12" s="40">
        <f ca="1">(AR12*AM90+BO55/30*-1+AI90/30)</f>
        <v>305.6957372</v>
      </c>
      <c r="AT12" s="35">
        <f>COUNTIF($A$1,"2011-Öncesi-Römorkör Kaptanı-Nezaretçi")*($AJ$1)
+COUNTIF($A$1,"2011-Öncesi-Baş Makinist-Nezaretçi")*($AJ$2)
+COUNTIF($A$1,"2011-Öncesi-Liman Kaptanı-Nezaretçi")*($AJ$3)
+COUNTIF($A$1,"2011-Öncesi-Gemici-Usta")*($AJ$4)
+COUNTIF($A$1,"2011-Öncesi-Gemici-Uzman")*($AJ$5)
+COUNTIF($A$1,"2011-Öncesi-Yağcı-Usta")*($AJ$6)
+COUNTIF($A$1,"2011-Öncesi-Yağcı-Uzman")*($AJ$7)
+COUNTIF($A$1,"2011-Öncesi-Elektrikçi-Nezaretçi")*($AJ$8)
+COUNTIF($A$1,"2011-Sonrası-Liman Kaptanı-Nezaretçi")*($AJ$9)
+COUNTIF($A$1,"2011-Sonrası-Gemici-Usta")*($AJ$10)
+COUNTIF($A$1,"2011-Sonrası-Gemici-Uzman")*($AJ$11)
+COUNTIF($A$1,"2012-Sonrası-Römorkör Kaptanı-Nezaretçi")*($AJ$12)
+COUNTIF($A$1,"2012-Sonrası-Gemici-Usta")*($AJ$13)
+COUNTIF($A$1,"2012-Sonrası-Gemici-Uzman")*($AJ$14)
+COUNTIF($A$1,"2012-Sonrası-Yağcı-Usta")*($AJ$15)
+COUNTIF($A$1,"2012-Sonrası-Yağcı-Uzman")*($AJ$16)
+COUNTIF($A$1,"2013-Sonrası-Römorkör Kaptanı-Nezaretçi")*($AJ$17)
+COUNTIF($A$1,"2013-Sonrası-Baş Makinist-Nezaretçi")*($AJ$18)
+COUNTIF($A$1,"2013-Sonrası-Liman Kaptanı-Nezaretçi")*($AJ$19)
+COUNTIF($A$1,"2013-Sonrası-Gemici-Usta")*($AJ$20)
+COUNTIF($A$1,"2013-Sonrası-Gemici-Uzman")*($AJ$21)
+COUNTIF($A$1,"2013-Sonrası-Yağcı-Usta")*($AJ$22)
+COUNTIF($A$1,"2013-Sonrası-Yağcı-Uzman")*($AJ$23)
+COUNTIF($A$1,"2013-Sonrası-Elektrikçi-Nezaretçi")*($AJ$24)
+COUNTIF($A$1,"2015-Sonrası-Liman Kaptanı-Nezaretçi")*($AJ$25)
+COUNTIF($A$1,"2015-Sonrası-Elektrikçi-Nezaretçi")*($AJ$26)</f>
        <v>366.52</v>
      </c>
      <c r="AU12" s="40">
        <f ca="1">(AT12*AM90)</f>
        <v>246.45171319999997</v>
      </c>
      <c r="AV12" s="40">
        <f>(AT12*I26)</f>
        <v>0</v>
      </c>
      <c r="AW12" s="40">
        <f ca="1">(AV12*AM90)</f>
        <v>0</v>
      </c>
      <c r="AX12" s="41">
        <v>30</v>
      </c>
      <c r="AY12" s="40">
        <f t="shared" si="2"/>
        <v>915.05</v>
      </c>
      <c r="AZ12" s="40">
        <f ca="1">(AY12*AM90)</f>
        <v>615.28877049999994</v>
      </c>
      <c r="BA12" s="40">
        <f>($AO$16*M26)</f>
        <v>0</v>
      </c>
      <c r="BB12" s="40">
        <f ca="1">(BA12+(BA12*0.00759*-1)+((BA12-BC12)*0.14*-1)+((BA12-BC12)*0.01*-1)+(BA12+((BA12-BC12)*0.14*-1)+((BA12-BC12)*0.01*-1))*AL76*-1)</f>
        <v>0</v>
      </c>
      <c r="BC12" s="40">
        <f>($AO$4*M26)</f>
        <v>0</v>
      </c>
      <c r="BD12" s="40">
        <f>($AO$7*M26)</f>
        <v>0</v>
      </c>
      <c r="BE12" s="37" t="s">
        <v>1</v>
      </c>
      <c r="BF12" s="37" t="s">
        <v>1</v>
      </c>
      <c r="BG12" s="42">
        <f>COUNTIF(P26,"Yok")*(0)
+COUNTIF(P26,"Cenaze Yardımı (Eş-Çocuk)")*($AK$29)
+COUNTIF(P26,"Cenaze Yardımı (İşçi-İş Kazası Sonucu)")*($AK$30)
+COUNTIF(P26,"Cenaze Yardımı (İşçi-Tabii Sebepler Sonucu)")*($AK$31)
+COUNTIF(P26,"Doğum Yardımı (İşveren)")*($AK$32)
+COUNTIF(P26,"Evlilik Yardımı")*($AK$33)
+COUNTIF(BE12,"Yok")*(0)
+COUNTIF(BE12,"Cenaze Yardımı (Eş-Çocuk)")*($AK$29)
+COUNTIF(BE12,"Cenaze Yardımı (İşçi-İş Kazası Sonucu)")*($AK$30)
+COUNTIF(BE12,"Cenaze Yardımı (İşçi-Tabii Sebepler Sonucu)")*($AK$31)
+COUNTIF(BE12,"Doğum Yardımı (İşveren)")*($AK$32)
+COUNTIF(BE12,"Evlilik Yardımı")*($AK$33)
+COUNTIF(BF12,"Yok")*(0)
+COUNTIF(BF12,"Cenaze Yardımı (Eş-Çocuk)")*($AK$29)
+COUNTIF(BF12,"Cenaze Yardımı (İşçi-İş Kazası Sonucu)")*($AK$30)
+COUNTIF(BF12,"Cenaze Yardımı (İşçi-Tabii Sebepler Sonucu)")*($AK$31)
+COUNTIF(BF12,"Doğum Yardımı (İşveren)")*($AK$32)
+COUNTIF(BF12,"Evlilik Yardımı")*($AK$33)</f>
        <v>0</v>
      </c>
      <c r="BH12" s="42">
        <f>COUNTIF(P26,"Yok")*(0)
+COUNTIF(P26,"Cenaze Yardımı (Eş-Çocuk)")*($AK$29)
+COUNTIF(P26,"Cenaze Yardımı (İşçi-İş Kazası Sonucu)")*($AK$30)
+COUNTIF(P26,"Cenaze Yardımı (İşçi-Tabii Sebepler Sonucu)")*($AK$31)
+COUNTIF(P26,"Doğum Yardımı (İşveren)")*($AK$32)
+COUNTIF(P26,"Evlilik Yardımı")*($AK$33)
+COUNTIF(BE12,"Yok")*(0)
+COUNTIF(BE12,"Cenaze Yardımı (Eş-Çocuk)")*($AK$29)
+COUNTIF(BE12,"Cenaze Yardımı (İşçi-İş Kazası Sonucu)")*($AK$30)
+COUNTIF(BE12,"Cenaze Yardımı (İşçi-Tabii Sebepler Sonucu)")*($AK$31)
+COUNTIF(BE12,"Doğum Yardımı (İşveren)")*($AK$32)
+COUNTIF(BE12,"Evlilik Yardımı")*($AK$33)
+COUNTIF(BF12,"Yok")*(0)
+COUNTIF(BF12,"Cenaze Yardımı (Eş-Çocuk)")*($AK$29)
+COUNTIF(BF12,"Cenaze Yardımı (İşçi-İş Kazası Sonucu)")*($AK$30)
+COUNTIF(BF12,"Cenaze Yardımı (İşçi-Tabii Sebepler Sonucu)")*($AK$31)
+COUNTIF(BF12,"Doğum Yardımı (İşveren)")*($AK$32)
+COUNTIF(BF12,"Evlilik Yardımı")*($AK$33)</f>
        <v>0</v>
      </c>
      <c r="BI12" s="42">
        <f>COUNTIF(P26,"Yok")*(0)
+COUNTIF(P26,"Cenaze Yardımı (Eş-Çocuk)")*($AK$29-$AK$29*0.00759)
+COUNTIF(P26,"Cenaze Yardımı (İşçi-İş Kazası Sonucu)")*($AK$30-$AK$30*0.00759)
+COUNTIF(P26,"Cenaze Yardımı (İşçi-Tabii Sebepler Sonucu)")*($AK$31-$AK$31*0.00759)
+COUNTIF(P26,"Doğum Yardımı (İşveren)")*($AK$32-$AK$32*0.00759)
+COUNTIF(P26,"Evlilik Yardımı")*($AK$33-$AK$33*0.00759)
+COUNTIF(BE12,"Yok")*(0)
+COUNTIF(BE12,"Cenaze Yardımı (Eş-Çocuk)")*($AK$29-$AK$29*0.00759)
+COUNTIF(BE12,"Cenaze Yardımı (İşçi-İş Kazası Sonucu)")*($AK$30-$AK$30*0.00759)
+COUNTIF(BE12,"Cenaze Yardımı (İşçi-Tabii Sebepler Sonucu)")*($AK$31-$AK$31*0.00759)
+COUNTIF(BE12,"Doğum Yardımı (İşveren)")*($AK$32-$AK$32*0.00759)
+COUNTIF(BE12,"Evlilik Yardımı")*($AK$33-$AK$33*0.00759)
+COUNTIF(BF12,"Yok")*(0)
+COUNTIF(BF12,"Cenaze Yardımı (Eş-Çocuk)")*($AK$29-$AK$29*0.00759)
+COUNTIF(BF12,"Cenaze Yardımı (İşçi-İş Kazası Sonucu)")*($AK$30-$AK$30*0.00759)
+COUNTIF(BF12,"Cenaze Yardımı (İşçi-Tabii Sebepler Sonucu)")*($AK$31-$AK$31*0.00759)
+COUNTIF(BF12,"Doğum Yardımı (İşveren)")*($AK$32-$AK$32*0.00759)
+COUNTIF(BF12,"Evlilik Yardımı")*($AK$33-$AK$33*0.00759)</f>
        <v>0</v>
      </c>
      <c r="BJ12" s="40" t="s">
        <v>0</v>
      </c>
      <c r="BK12" s="40" t="s">
        <v>0</v>
      </c>
      <c r="BL12" s="40" t="s">
        <v>0</v>
      </c>
      <c r="BM12" s="40" t="s">
        <v>0</v>
      </c>
      <c r="BN12" s="40">
        <f>(BH26+BI40+BJ40-BK41)</f>
        <v>8506.7999999999993</v>
      </c>
    </row>
    <row r="13" spans="1:69" ht="39.950000000000003" customHeight="1" x14ac:dyDescent="0.25">
      <c r="A13" s="68"/>
      <c r="B13" s="1"/>
      <c r="C13" s="2"/>
      <c r="D13" s="2"/>
      <c r="E13" s="3"/>
      <c r="F13" s="3"/>
      <c r="G13" s="14"/>
      <c r="H13" s="14"/>
      <c r="I13" s="3"/>
      <c r="J13" s="2"/>
      <c r="K13" s="5"/>
      <c r="L13" s="2"/>
      <c r="M13" s="2"/>
      <c r="N13" s="2"/>
      <c r="O13" s="2"/>
      <c r="P13" s="2"/>
      <c r="Q13" s="2"/>
      <c r="R13" s="2"/>
      <c r="S13" s="2"/>
      <c r="T13" s="6"/>
      <c r="U13" s="74"/>
      <c r="V13" s="7"/>
      <c r="W13" s="75"/>
      <c r="X13" s="15"/>
      <c r="Y13" s="16"/>
      <c r="Z13" s="17"/>
      <c r="AA13" s="66"/>
      <c r="AB13" s="34" t="s">
        <v>37</v>
      </c>
      <c r="AC13" s="35">
        <f t="shared" ref="AC13:AC22" si="4">IF(AD13&gt;0,AD13,AD13*-1)</f>
        <v>0</v>
      </c>
      <c r="AD13" s="35">
        <f>COUNTIF(U1,"Ocak")*(BI1)
+COUNTIF(U1,"Şubat")*(BI2)
+COUNTIF(U1,"Mart")*(BI3)
+COUNTIF(U1,"Nisan")*(BI4)
+COUNTIF(U1,"Mayıs")*(BI5)
+COUNTIF(U1,"Haziran")*(BI6)
+COUNTIF(U1,"Temmuz")*(BI7)
+COUNTIF(U1,"Ağustos")*(BI8)
+COUNTIF(U1,"Eylül")*(BI9)
+COUNTIF(U1,"Ekim")*(BI10)
+COUNTIF(U1,"Kasım")*(BI11)
+COUNTIF(U1,"Aralık")*(BI12)
+COUNTIF(U1,"Yıllık Toplam")*(BI13)
+COUNTIF(U1,"Yıllık Ortalama")*(BI14)</f>
        <v>0</v>
      </c>
      <c r="AE13" s="39">
        <v>11</v>
      </c>
      <c r="AF13" s="44">
        <v>5.5</v>
      </c>
      <c r="AG13" s="45">
        <v>0.13</v>
      </c>
      <c r="AH13" s="34" t="s">
        <v>88</v>
      </c>
      <c r="AI13" s="35">
        <v>366.52</v>
      </c>
      <c r="AJ13" s="35">
        <v>366.52</v>
      </c>
      <c r="AP13" s="40">
        <f>(AP1+AP2+AP3+AP4+AP5+AP6+AP7+AP8+AP9+AP10+AP11+AP12)</f>
        <v>4398.24</v>
      </c>
      <c r="AQ13" s="40">
        <f t="shared" ref="AQ13:AU13" ca="1" si="5">(AQ1+AQ2+AQ3+AQ4+AQ5+AQ6+AQ7+AQ8+AQ9+AQ10+AQ11+AQ12)</f>
        <v>3036.4811239782916</v>
      </c>
      <c r="AR13" s="40">
        <f t="shared" si="5"/>
        <v>4398.24</v>
      </c>
      <c r="AS13" s="40">
        <f t="shared" ca="1" si="5"/>
        <v>3630.7427453116243</v>
      </c>
      <c r="AT13" s="40">
        <f t="shared" si="5"/>
        <v>4398.24</v>
      </c>
      <c r="AU13" s="40">
        <f t="shared" ca="1" si="5"/>
        <v>3036.4811239782916</v>
      </c>
      <c r="AV13" s="40">
        <f t="shared" ref="AV13:AW13" si="6">(AV1+AV2+AV3+AV4+AV5+AV6+AV7+AV8+AV9+AV10+AV11+AV12)</f>
        <v>21991.199999999997</v>
      </c>
      <c r="AW13" s="40">
        <f t="shared" ca="1" si="6"/>
        <v>15721.728791999998</v>
      </c>
      <c r="AX13" s="41">
        <f>(AX1+AX2+AX3+AX4+AX5+AX6+AX7+AX8+AX9+AX10+AX11+AX12)</f>
        <v>360</v>
      </c>
      <c r="AY13" s="40">
        <f t="shared" ref="AY13:AZ13" si="7">(AY1+AY2+AY3+AY4+AY5+AY6+AY7+AY8+AY9+AY10+AY11+AY12)</f>
        <v>10980.599999999999</v>
      </c>
      <c r="AZ13" s="40">
        <f t="shared" ca="1" si="7"/>
        <v>7580.8470274373449</v>
      </c>
      <c r="BA13" s="40">
        <f t="shared" ref="BA13:BD13" si="8">(BA1+BA2+BA3+BA4+BA5+BA6+BA7+BA8+BA9+BA10+BA11+BA12)</f>
        <v>0</v>
      </c>
      <c r="BB13" s="40">
        <f t="shared" ca="1" si="8"/>
        <v>0</v>
      </c>
      <c r="BC13" s="40">
        <f t="shared" si="8"/>
        <v>0</v>
      </c>
      <c r="BD13" s="40">
        <f t="shared" si="8"/>
        <v>0</v>
      </c>
      <c r="BE13" s="48" t="s">
        <v>0</v>
      </c>
      <c r="BF13" s="48" t="s">
        <v>0</v>
      </c>
      <c r="BG13" s="40">
        <f t="shared" ref="BG13" si="9">(BG1+BG2+BG3+BG4+BG5+BG6+BG7+BG8+BG9+BG10+BG11+BG12)</f>
        <v>0</v>
      </c>
      <c r="BH13" s="40">
        <f t="shared" ref="BH13" si="10">(BH1+BH2+BH3+BH4+BH5+BH6+BH7+BH8+BH9+BH10+BH11+BH12)</f>
        <v>0</v>
      </c>
      <c r="BI13" s="40">
        <f t="shared" ref="BI13" si="11">(BI1+BI2+BI3+BI4+BI5+BI6+BI7+BI8+BI9+BI10+BI11+BI12)</f>
        <v>0</v>
      </c>
      <c r="BJ13" s="48" t="s">
        <v>0</v>
      </c>
      <c r="BK13" s="48" t="s">
        <v>0</v>
      </c>
      <c r="BL13" s="48" t="s">
        <v>0</v>
      </c>
      <c r="BM13" s="48" t="s">
        <v>0</v>
      </c>
      <c r="BN13" s="40">
        <f t="shared" ref="BN13" si="12">(BN1+BN2+BN3+BN4+BN5+BN6+BN7+BN8+BN9+BN10+BN11+BN12)</f>
        <v>102081.60000000002</v>
      </c>
    </row>
    <row r="14" spans="1:69" ht="39.950000000000003" customHeight="1" x14ac:dyDescent="0.25">
      <c r="A14" s="68"/>
      <c r="B14" s="1"/>
      <c r="C14" s="2"/>
      <c r="D14" s="2"/>
      <c r="E14" s="3"/>
      <c r="F14" s="3"/>
      <c r="G14" s="18"/>
      <c r="H14" s="18"/>
      <c r="I14" s="3"/>
      <c r="J14" s="2"/>
      <c r="K14" s="5"/>
      <c r="L14" s="2"/>
      <c r="M14" s="2"/>
      <c r="N14" s="2"/>
      <c r="O14" s="2"/>
      <c r="P14" s="2"/>
      <c r="Q14" s="2"/>
      <c r="R14" s="2"/>
      <c r="S14" s="2"/>
      <c r="T14" s="6"/>
      <c r="U14" s="74"/>
      <c r="V14" s="7"/>
      <c r="W14" s="75"/>
      <c r="X14" s="15"/>
      <c r="Y14" s="16"/>
      <c r="Z14" s="17"/>
      <c r="AA14" s="66"/>
      <c r="AB14" s="34" t="s">
        <v>38</v>
      </c>
      <c r="AC14" s="35">
        <f t="shared" si="4"/>
        <v>3694.5215999999996</v>
      </c>
      <c r="AD14" s="35">
        <f>COUNTIF(U1,"Ocak")*(BF15)*-1
+COUNTIF(U1,"Şubat")*(BF16)*-1
+COUNTIF(U1,"Mart")*(BF17)*-1
+COUNTIF(U1,"Nisan")*(BF18)*-1
+COUNTIF(U1,"Mayıs")*(BF19)*-1
+COUNTIF(U1,"Haziran")*(BF20)*-1
+COUNTIF(U1,"Temmuz")*(BF21)*-1
+COUNTIF(U1,"Ağustos")*(BF22)*-1
+COUNTIF(U1,"Eylül")*(BF23)*-1
+COUNTIF(U1,"Ekim")*(BF24)*-1
+COUNTIF(U1,"Kasım")*(BF25)*-1
+COUNTIF(U1,"Aralık")*(BF26)*-1
+COUNTIF(U1,"Yıllık Toplam")*(BF27)*-1
+COUNTIF(U1,"Yıllık Ortalama")*(BF28)*-1</f>
        <v>3694.5215999999996</v>
      </c>
      <c r="AE14" s="39">
        <v>12</v>
      </c>
      <c r="AF14" s="44">
        <v>6</v>
      </c>
      <c r="AG14" s="45">
        <v>0.14000000000000001</v>
      </c>
      <c r="AH14" s="34" t="s">
        <v>89</v>
      </c>
      <c r="AI14" s="35">
        <v>368.15</v>
      </c>
      <c r="AJ14" s="35">
        <v>368.15</v>
      </c>
      <c r="AL14" s="49">
        <f>(2273)</f>
        <v>2273</v>
      </c>
      <c r="AM14" s="39" t="s">
        <v>0</v>
      </c>
      <c r="AN14" s="40">
        <f>($AL$27*$AL$14)</f>
        <v>985.763732</v>
      </c>
      <c r="AO14" s="40">
        <f>($AM$27*$AL$14)</f>
        <v>985.763732</v>
      </c>
      <c r="AP14" s="40">
        <f>(AP13/12)</f>
        <v>366.52</v>
      </c>
      <c r="AQ14" s="40">
        <f t="shared" ref="AQ14:AU14" ca="1" si="13">(AQ13/12)</f>
        <v>253.04009366485764</v>
      </c>
      <c r="AR14" s="40">
        <f t="shared" si="13"/>
        <v>366.52</v>
      </c>
      <c r="AS14" s="40">
        <f t="shared" ca="1" si="13"/>
        <v>302.56189544263538</v>
      </c>
      <c r="AT14" s="40">
        <f t="shared" si="13"/>
        <v>366.52</v>
      </c>
      <c r="AU14" s="40">
        <f t="shared" ca="1" si="13"/>
        <v>253.04009366485764</v>
      </c>
      <c r="AV14" s="40">
        <f t="shared" ref="AV14:AW14" si="14">(AV13/12)</f>
        <v>1832.5999999999997</v>
      </c>
      <c r="AW14" s="40">
        <f t="shared" ca="1" si="14"/>
        <v>1310.1440659999998</v>
      </c>
      <c r="AX14" s="48" t="s">
        <v>0</v>
      </c>
      <c r="AY14" s="40">
        <f t="shared" ref="AY14:AZ14" si="15">(AY13/12)</f>
        <v>915.04999999999984</v>
      </c>
      <c r="AZ14" s="40">
        <f t="shared" ca="1" si="15"/>
        <v>631.73725228644537</v>
      </c>
      <c r="BA14" s="40">
        <f t="shared" ref="BA14:BD14" si="16">(BA13/12)</f>
        <v>0</v>
      </c>
      <c r="BB14" s="40">
        <f t="shared" ca="1" si="16"/>
        <v>0</v>
      </c>
      <c r="BC14" s="40">
        <f t="shared" si="16"/>
        <v>0</v>
      </c>
      <c r="BD14" s="40">
        <f t="shared" si="16"/>
        <v>0</v>
      </c>
      <c r="BE14" s="48" t="s">
        <v>0</v>
      </c>
      <c r="BF14" s="48" t="s">
        <v>0</v>
      </c>
      <c r="BG14" s="40">
        <f t="shared" ref="BG14" si="17">BG13/12</f>
        <v>0</v>
      </c>
      <c r="BH14" s="40">
        <f t="shared" ref="BH14" si="18">BH13/12</f>
        <v>0</v>
      </c>
      <c r="BI14" s="40">
        <f t="shared" ref="BI14" si="19">BI13/12</f>
        <v>0</v>
      </c>
      <c r="BJ14" s="48" t="s">
        <v>0</v>
      </c>
      <c r="BK14" s="48" t="s">
        <v>0</v>
      </c>
      <c r="BL14" s="48" t="s">
        <v>0</v>
      </c>
      <c r="BM14" s="48" t="s">
        <v>0</v>
      </c>
      <c r="BN14" s="40">
        <f t="shared" ref="BN14" si="20">(BN13/12)</f>
        <v>8506.8000000000011</v>
      </c>
    </row>
    <row r="15" spans="1:69" ht="39.950000000000003" customHeight="1" x14ac:dyDescent="0.25">
      <c r="A15" s="19">
        <f ca="1">(AL65)</f>
        <v>0.15</v>
      </c>
      <c r="B15" s="20" t="s">
        <v>12</v>
      </c>
      <c r="C15" s="69">
        <v>0</v>
      </c>
      <c r="D15" s="70">
        <v>0</v>
      </c>
      <c r="E15" s="70">
        <v>0</v>
      </c>
      <c r="F15" s="70">
        <v>0</v>
      </c>
      <c r="G15" s="69">
        <v>26</v>
      </c>
      <c r="H15" s="69">
        <v>26</v>
      </c>
      <c r="I15" s="69">
        <v>30</v>
      </c>
      <c r="J15" s="69">
        <v>0</v>
      </c>
      <c r="K15" s="71" t="s">
        <v>1</v>
      </c>
      <c r="L15" s="69">
        <v>0</v>
      </c>
      <c r="M15" s="69">
        <v>0</v>
      </c>
      <c r="N15" s="69">
        <v>0</v>
      </c>
      <c r="O15" s="69">
        <v>0</v>
      </c>
      <c r="P15" s="72" t="s">
        <v>1</v>
      </c>
      <c r="Q15" s="73">
        <v>0</v>
      </c>
      <c r="R15" s="21">
        <f ca="1">(BL44+BF15+BD29+AL34+AI48+AJ48+AJ79-S15)</f>
        <v>17927.866948707251</v>
      </c>
      <c r="S15" s="21">
        <f ca="1">(AN48+AP48+AS29+AO62+BE29)</f>
        <v>2080</v>
      </c>
      <c r="T15" s="22">
        <f ca="1">(R15+S15)</f>
        <v>20007.866948707251</v>
      </c>
      <c r="U15" s="74"/>
      <c r="V15" s="7"/>
      <c r="W15" s="75"/>
      <c r="X15" s="15"/>
      <c r="Y15" s="16"/>
      <c r="Z15" s="17"/>
      <c r="AA15" s="66"/>
      <c r="AB15" s="34" t="s">
        <v>33</v>
      </c>
      <c r="AC15" s="35">
        <f t="shared" ca="1" si="4"/>
        <v>0</v>
      </c>
      <c r="AD15" s="35">
        <f ca="1">COUNTIF(U1,"Ocak")*(BF29)*-1
+COUNTIF(U1,"Şubat")*(BF30)*-1
+COUNTIF(U1,"Mart")*(BF31)*-1
+COUNTIF(U1,"Nisan")*(BF32)*-1
+COUNTIF(U1,"Mayıs")*(BF33)*-1
+COUNTIF(U1,"Haziran")*(BF34)*-1
+COUNTIF(U1,"Temmuz")*(BF35)*-1
+COUNTIF(U1,"Ağustos")*(BF36)*-1
+COUNTIF(U1,"Eylül")*(BF37)*-1
+COUNTIF(U1,"Ekim")*(BF38)*-1
+COUNTIF(U1,"Kasım")*(BF39)*-1
+COUNTIF(U1,"Aralık")*(BF40)*-1
+COUNTIF(U1,"Yıllık Toplam")*(BF41)*-1
+COUNTIF(U1,"Yıllık Ortalama")*(BF42)*-1</f>
        <v>0</v>
      </c>
      <c r="AE15" s="39">
        <v>13</v>
      </c>
      <c r="AF15" s="44">
        <v>6.5</v>
      </c>
      <c r="AG15" s="45">
        <v>0.15</v>
      </c>
      <c r="AH15" s="34" t="s">
        <v>90</v>
      </c>
      <c r="AI15" s="35">
        <v>366.52</v>
      </c>
      <c r="AJ15" s="35">
        <v>366.52</v>
      </c>
      <c r="AL15" s="49">
        <f>(250)</f>
        <v>250</v>
      </c>
      <c r="AM15" s="39" t="s">
        <v>0</v>
      </c>
      <c r="AN15" s="40">
        <f>($AL$27*$AL$15*2)</f>
        <v>216.84200000000001</v>
      </c>
      <c r="AO15" s="40">
        <f>($AM$27*$AL$15*2)</f>
        <v>216.84200000000001</v>
      </c>
      <c r="AP15" s="50">
        <v>44927</v>
      </c>
      <c r="AQ15" s="51">
        <f t="shared" ref="AQ15:AQ26" si="21">EOMONTH(AP15,0)</f>
        <v>44957</v>
      </c>
      <c r="AR15" s="52">
        <f>DAY(AQ15)</f>
        <v>31</v>
      </c>
      <c r="AS15" s="52">
        <f>NETWORKDAYS.INTL(AP15,AQ15,11)</f>
        <v>26</v>
      </c>
      <c r="AT15" s="52">
        <f>(AR15-AS15)</f>
        <v>5</v>
      </c>
      <c r="AU15" s="40">
        <f ca="1">IF(AT29-AU29&gt;=0,AT29-AU29,0)</f>
        <v>0</v>
      </c>
      <c r="AV15" s="40">
        <f ca="1">(AU15*AL65*-1)</f>
        <v>0</v>
      </c>
      <c r="AW15" s="40">
        <f>(10.7*H15)</f>
        <v>278.2</v>
      </c>
      <c r="AX15" s="40">
        <f ca="1">(AW15*AM79)</f>
        <v>198.88796200000002</v>
      </c>
      <c r="AY15" s="40">
        <f>COUNTIF($A$1,"2011-Öncesi-Römorkör Kaptanı-Nezaretçi")*(16.48*J21)
+COUNTIF($A$1,"2011-Öncesi-Baş Makinist-Nezaretçi")*(16.48*J21)
+COUNTIF($A$1,"2011-Öncesi-Liman Kaptanı-Nezaretçi")*(16.48*J21)
+COUNTIF($A$1,"2011-Öncesi-Gemici-Usta")*(8.1*J21)
+COUNTIF($A$1,"2011-Öncesi-Gemici-Uzman")*(8.1*J21)
+COUNTIF($A$1,"2011-Öncesi-Yağcı-Usta")*(8.1*J21)
+COUNTIF($A$1,"2011-Öncesi-Yağcı-Uzman")*(8.1*J21)
+COUNTIF($A$1,"2011-Öncesi-Elektrikçi-Nezaretçi")*(8.1*J21)
+COUNTIF($A$1,"2011-Sonrası-Liman Kaptanı-Nezaretçi")*(16.48*J21)
+COUNTIF($A$1,"2011-Sonrası-Gemici-Usta")*(8.1*J21)
+COUNTIF($A$1,"2011-Sonrası-Gemici-Uzman")*(8.1*J21)
+COUNTIF($A$1,"2012-Sonrası-Römorkör Kaptanı-Nezaretçi")*(16.48*J21)
+COUNTIF($A$1,"2012-Sonrası-Gemici-Usta")*(8.1*J21)
+COUNTIF($A$1,"2012-Sonrası-Gemici-Uzman")*(8.1*J21)
+COUNTIF($A$1,"2012-Sonrası-Yağcı-Usta")*(8.1*J21)
+COUNTIF($A$1,"2012-Sonrası-Yağcı-Uzman")*(8.1*J21)
+COUNTIF($A$1,"2013-Sonrası-Römorkör Kaptanı-Nezaretçi")*(16.48*J21)
+COUNTIF($A$1,"2013-Sonrası-Baş Makinist-Nezaretçi")*(16.48*J21)
+COUNTIF($A$1,"2013-Sonrası-Liman Kaptanı-Nezaretçi")*(16.48*J21)
+COUNTIF($A$1,"2013-Sonrası-Gemici-Usta")*(8.1*J21)
+COUNTIF($A$1,"2013-Sonrası-Gemici-Uzman")*(8.1*J21)
+COUNTIF($A$1,"2013-Sonrası-Yağcı-Usta")*(8.1*J21)
+COUNTIF($A$1,"2013-Sonrası-Yağcı-Uzman")*(8.1*J21)
+COUNTIF($A$1,"2013-Sonrası-Elektrikçi-Nezaretçi")*(8.1*J21)
+COUNTIF($A$1,"2015-Sonrası-Liman Kaptanı-Nezaretçi")*(16.48*J21)
+COUNTIF($A$1,"2015-Sonrası-Elektrikçi-Nezaretçi")*(8.1*J21)</f>
        <v>0</v>
      </c>
      <c r="AZ15" s="40">
        <f ca="1">(AY15*AM79)</f>
        <v>0</v>
      </c>
      <c r="BA15" s="40">
        <f>($AN$15*L15)</f>
        <v>0</v>
      </c>
      <c r="BB15" s="40">
        <f ca="1">(BA15+(BA15*0.00759*-1)+((BA15-BC15)*0.14*-1)+((BA15-BC15)*0.01*-1)+(BA15+((BA15-BC15)*0.14*-1)+((BA15-BC15)*0.01*-1))*AL65*-1)</f>
        <v>0</v>
      </c>
      <c r="BC15" s="40">
        <f>($AN$3*L15)</f>
        <v>0</v>
      </c>
      <c r="BD15" s="40">
        <f>($AN$6*L15)</f>
        <v>0</v>
      </c>
      <c r="BE15" s="36" t="s">
        <v>11</v>
      </c>
      <c r="BF15" s="40">
        <f>COUNTIF(BE15,"Var")*(AP1*0.84*-1)</f>
        <v>-307.87679999999995</v>
      </c>
      <c r="BG15" s="40">
        <f>(BF15*-1)</f>
        <v>307.87679999999995</v>
      </c>
      <c r="BH15" s="40">
        <f>($AN$8)</f>
        <v>10008</v>
      </c>
      <c r="BI15" s="40">
        <f>($AN$8)</f>
        <v>10008</v>
      </c>
      <c r="BJ15" s="40">
        <f>(BH15-BI15)</f>
        <v>0</v>
      </c>
      <c r="BK15" s="40">
        <f>(BJ15*0.00759*-1)</f>
        <v>0</v>
      </c>
      <c r="BL15" s="40">
        <f>(BH15)</f>
        <v>10008</v>
      </c>
      <c r="BM15" s="53">
        <f>IF(BO30=0,BN30,(VLOOKUP($BN30,$BJ$1:$BM$5,2,0)-BM29)/BL30*BN29+(BM30-VLOOKUP($BN30,$BJ$1:$BM$5,2,0))/BL30*BN30)</f>
        <v>0.15</v>
      </c>
      <c r="BN15" s="40">
        <f>(ROUND(BL30*BM15,2)+VLOOKUP(BN30,$BJ$1:$BM$5,4,0))</f>
        <v>1276.02</v>
      </c>
      <c r="BO15" s="53">
        <f>(100+(100*0.00759*-1)+(100*0.01*-1)+(100*0.01*-1)+(100+100*0.14*-1+100*0.01*-1)*BM15*-1)/100</f>
        <v>0.84491000000000005</v>
      </c>
      <c r="BP15" s="40">
        <f>BH15</f>
        <v>10008</v>
      </c>
      <c r="BQ15" s="40">
        <f>BH15+BK15+BI29+BJ29</f>
        <v>8506.7999999999993</v>
      </c>
    </row>
    <row r="16" spans="1:69" ht="39.950000000000003" customHeight="1" x14ac:dyDescent="0.25">
      <c r="A16" s="19">
        <f ca="1">(AL66)</f>
        <v>0.15</v>
      </c>
      <c r="B16" s="20" t="s">
        <v>13</v>
      </c>
      <c r="C16" s="69">
        <v>0</v>
      </c>
      <c r="D16" s="70">
        <v>0</v>
      </c>
      <c r="E16" s="70">
        <v>0</v>
      </c>
      <c r="F16" s="70">
        <v>0</v>
      </c>
      <c r="G16" s="69">
        <v>26</v>
      </c>
      <c r="H16" s="69">
        <v>26</v>
      </c>
      <c r="I16" s="69">
        <v>0</v>
      </c>
      <c r="J16" s="69">
        <v>0</v>
      </c>
      <c r="K16" s="71" t="s">
        <v>1</v>
      </c>
      <c r="L16" s="69">
        <v>0</v>
      </c>
      <c r="M16" s="69">
        <v>0</v>
      </c>
      <c r="N16" s="69">
        <v>0</v>
      </c>
      <c r="O16" s="69">
        <v>0</v>
      </c>
      <c r="P16" s="72" t="s">
        <v>1</v>
      </c>
      <c r="Q16" s="73">
        <v>0</v>
      </c>
      <c r="R16" s="21">
        <f ca="1">(BL45+BF16+BD30+AL35+AI49+AJ49+AJ80-S16)</f>
        <v>9280.9132131072565</v>
      </c>
      <c r="S16" s="21">
        <f ca="1">(AN49+AP49+AS30+AO63+BE30)</f>
        <v>2080</v>
      </c>
      <c r="T16" s="22">
        <f t="shared" ref="T16:T26" ca="1" si="22">(R16+S16)</f>
        <v>11360.913213107257</v>
      </c>
      <c r="U16" s="74"/>
      <c r="V16" s="7"/>
      <c r="W16" s="75"/>
      <c r="X16" s="15"/>
      <c r="Y16" s="16"/>
      <c r="Z16" s="17"/>
      <c r="AA16" s="66"/>
      <c r="AB16" s="34" t="s">
        <v>34</v>
      </c>
      <c r="AC16" s="35">
        <f t="shared" ca="1" si="4"/>
        <v>379.45445999999993</v>
      </c>
      <c r="AD16" s="40">
        <f ca="1">COUNTIF(U1,"Ocak")*(AL34)*-1
+COUNTIF(U1,"Şubat")*(AL35)*-1
+COUNTIF(U1,"Mart")*(AL36)*-1
+COUNTIF(U1,"Nisan")*(AL37)*-1
+COUNTIF(U1,"Mayıs")*(AL38)*-1
+COUNTIF(U1,"Haziran")*(AL39)*-1
+COUNTIF(U1,"Temmuz")*(AL40)*-1
+COUNTIF(U1,"Ağustos")*(AL41)*-1
+COUNTIF(U1,"Eylül")*(AL42)*-1
+COUNTIF(U1,"Ekim")*(AL43)*-1
+COUNTIF(U1,"Kasım")*(AL44)*-1
+COUNTIF(U1,"Aralık")*(AL45)*-1
+COUNTIF(U1,"Yıllık Toplam")*(AL46)*-1
+COUNTIF(U1,"Yıllık Ortalama")*(AL47)*-1</f>
        <v>379.45445999999993</v>
      </c>
      <c r="AE16" s="39">
        <v>14</v>
      </c>
      <c r="AF16" s="44">
        <v>7</v>
      </c>
      <c r="AG16" s="45">
        <v>0.16</v>
      </c>
      <c r="AH16" s="34" t="s">
        <v>91</v>
      </c>
      <c r="AI16" s="35">
        <v>368.15</v>
      </c>
      <c r="AJ16" s="35">
        <v>368.15</v>
      </c>
      <c r="AL16" s="49">
        <f>(AL15)</f>
        <v>250</v>
      </c>
      <c r="AM16" s="39" t="s">
        <v>0</v>
      </c>
      <c r="AN16" s="40">
        <f>($AL$27*$AL$16)</f>
        <v>108.42100000000001</v>
      </c>
      <c r="AO16" s="40">
        <f>($AM$27*$AL$16)</f>
        <v>108.42100000000001</v>
      </c>
      <c r="AP16" s="51">
        <f>(AQ15+1)</f>
        <v>44958</v>
      </c>
      <c r="AQ16" s="51">
        <f t="shared" si="21"/>
        <v>44985</v>
      </c>
      <c r="AR16" s="52">
        <f t="shared" ref="AR16:AR26" si="23">DAY(AQ16)</f>
        <v>28</v>
      </c>
      <c r="AS16" s="52">
        <f t="shared" ref="AS16:AS26" si="24">NETWORKDAYS.INTL(AP16,AQ16,11)</f>
        <v>24</v>
      </c>
      <c r="AT16" s="52">
        <f t="shared" ref="AT16:AT26" si="25">(AR16-AS16)</f>
        <v>4</v>
      </c>
      <c r="AU16" s="40">
        <f ca="1">IF(AT30-AU30&gt;=0,AT30-AU30,0)</f>
        <v>0</v>
      </c>
      <c r="AV16" s="40">
        <f ca="1">(AU16*AL66*-1)</f>
        <v>0</v>
      </c>
      <c r="AW16" s="40">
        <f>(10.7*H16)</f>
        <v>278.2</v>
      </c>
      <c r="AX16" s="40">
        <f ca="1">(AW16*AM80)</f>
        <v>198.88796200000002</v>
      </c>
      <c r="AY16" s="40">
        <f>COUNTIF($A$1,"2011-Öncesi-Römorkör Kaptanı-Nezaretçi")*(16.48*J22)
+COUNTIF($A$1,"2011-Öncesi-Baş Makinist-Nezaretçi")*(16.48*J22)
+COUNTIF($A$1,"2011-Öncesi-Liman Kaptanı-Nezaretçi")*(16.48*J22)
+COUNTIF($A$1,"2011-Öncesi-Gemici-Usta")*(8.1*J22)
+COUNTIF($A$1,"2011-Öncesi-Gemici-Uzman")*(8.1*J22)
+COUNTIF($A$1,"2011-Öncesi-Yağcı-Usta")*(8.1*J22)
+COUNTIF($A$1,"2011-Öncesi-Yağcı-Uzman")*(8.1*J22)
+COUNTIF($A$1,"2011-Öncesi-Elektrikçi-Nezaretçi")*(8.1*J22)
+COUNTIF($A$1,"2011-Sonrası-Liman Kaptanı-Nezaretçi")*(16.48*J22)
+COUNTIF($A$1,"2011-Sonrası-Gemici-Usta")*(8.1*J22)
+COUNTIF($A$1,"2011-Sonrası-Gemici-Uzman")*(8.1*J22)
+COUNTIF($A$1,"2012-Sonrası-Römorkör Kaptanı-Nezaretçi")*(16.48*J22)
+COUNTIF($A$1,"2012-Sonrası-Gemici-Usta")*(8.1*J22)
+COUNTIF($A$1,"2012-Sonrası-Gemici-Uzman")*(8.1*J22)
+COUNTIF($A$1,"2012-Sonrası-Yağcı-Usta")*(8.1*J22)
+COUNTIF($A$1,"2012-Sonrası-Yağcı-Uzman")*(8.1*J22)
+COUNTIF($A$1,"2013-Sonrası-Römorkör Kaptanı-Nezaretçi")*(16.48*J22)
+COUNTIF($A$1,"2013-Sonrası-Baş Makinist-Nezaretçi")*(16.48*J22)
+COUNTIF($A$1,"2013-Sonrası-Liman Kaptanı-Nezaretçi")*(16.48*J22)
+COUNTIF($A$1,"2013-Sonrası-Gemici-Usta")*(8.1*J22)
+COUNTIF($A$1,"2013-Sonrası-Gemici-Uzman")*(8.1*J22)
+COUNTIF($A$1,"2013-Sonrası-Yağcı-Usta")*(8.1*J22)
+COUNTIF($A$1,"2013-Sonrası-Yağcı-Uzman")*(8.1*J22)
+COUNTIF($A$1,"2013-Sonrası-Elektrikçi-Nezaretçi")*(8.1*J22)
+COUNTIF($A$1,"2015-Sonrası-Liman Kaptanı-Nezaretçi")*(16.48*J22)
+COUNTIF($A$1,"2015-Sonrası-Elektrikçi-Nezaretçi")*(8.1*J22)</f>
        <v>0</v>
      </c>
      <c r="AZ16" s="40">
        <f ca="1">(AY16*AM80)</f>
        <v>0</v>
      </c>
      <c r="BA16" s="40">
        <f>($AN$15*L16)</f>
        <v>0</v>
      </c>
      <c r="BB16" s="40">
        <f ca="1">(BA16+(BA16*0.00759*-1)+((BA16-BC16)*0.14*-1)+((BA16-BC16)*0.01*-1)+(BA16+((BA16-BC16)*0.14*-1)+((BA16-BC16)*0.01*-1))*AL66*-1)</f>
        <v>0</v>
      </c>
      <c r="BC16" s="40">
        <f>($AN$3*L16)</f>
        <v>0</v>
      </c>
      <c r="BD16" s="40">
        <f>($AN$6*L16)</f>
        <v>0</v>
      </c>
      <c r="BE16" s="36" t="s">
        <v>11</v>
      </c>
      <c r="BF16" s="40">
        <f>COUNTIF(BE16,"Var")*(AP2*0.84*-1)</f>
        <v>-307.87679999999995</v>
      </c>
      <c r="BG16" s="40">
        <f t="shared" ref="BG16:BG26" si="26">(BF16*-1)</f>
        <v>307.87679999999995</v>
      </c>
      <c r="BH16" s="40">
        <f>($AN$8)</f>
        <v>10008</v>
      </c>
      <c r="BI16" s="40">
        <f>($AN$8)</f>
        <v>10008</v>
      </c>
      <c r="BJ16" s="40">
        <f t="shared" ref="BJ16:BJ26" si="27">(BH16-BI16)</f>
        <v>0</v>
      </c>
      <c r="BK16" s="40">
        <f t="shared" ref="BK16:BK26" si="28">(BJ16*0.00759*-1)</f>
        <v>0</v>
      </c>
      <c r="BL16" s="40">
        <f t="shared" ref="BL16:BL26" si="29">(BH16)</f>
        <v>10008</v>
      </c>
      <c r="BM16" s="53">
        <f>IF(BO31=0,BN31,(VLOOKUP($BN31,$BJ$1:$BM$5,2,0)-BM30)/BL31*BN30+(BM31-VLOOKUP($BN31,$BJ$1:$BM$5,2,0))/BL31*BN31)</f>
        <v>0.15</v>
      </c>
      <c r="BN16" s="40">
        <f>(ROUND(BL31*BM16,2))</f>
        <v>1276.02</v>
      </c>
      <c r="BO16" s="53">
        <f t="shared" ref="BO16:BO26" si="30">(100+(100*0.00759*-1)+(100*0.01*-1)+(100*0.01*-1)+(100+100*0.14*-1+100*0.01*-1)*BM16*-1)/100</f>
        <v>0.84491000000000005</v>
      </c>
      <c r="BP16" s="40">
        <f>BH16</f>
        <v>10008</v>
      </c>
      <c r="BQ16" s="40">
        <f>BH16+BK16+BI30+BJ30</f>
        <v>8506.7999999999993</v>
      </c>
    </row>
    <row r="17" spans="1:69" ht="39.950000000000003" customHeight="1" x14ac:dyDescent="0.25">
      <c r="A17" s="19">
        <f ca="1">(AL67)</f>
        <v>0.15</v>
      </c>
      <c r="B17" s="20" t="s">
        <v>14</v>
      </c>
      <c r="C17" s="69">
        <v>0</v>
      </c>
      <c r="D17" s="70">
        <v>0</v>
      </c>
      <c r="E17" s="70">
        <v>0</v>
      </c>
      <c r="F17" s="70">
        <v>0</v>
      </c>
      <c r="G17" s="69">
        <v>26</v>
      </c>
      <c r="H17" s="69">
        <v>26</v>
      </c>
      <c r="I17" s="69">
        <v>30</v>
      </c>
      <c r="J17" s="69">
        <v>0</v>
      </c>
      <c r="K17" s="71" t="s">
        <v>1</v>
      </c>
      <c r="L17" s="69">
        <v>0</v>
      </c>
      <c r="M17" s="69">
        <v>0</v>
      </c>
      <c r="N17" s="69">
        <v>0</v>
      </c>
      <c r="O17" s="69">
        <v>0</v>
      </c>
      <c r="P17" s="72" t="s">
        <v>1</v>
      </c>
      <c r="Q17" s="73">
        <v>0</v>
      </c>
      <c r="R17" s="21">
        <f ca="1">(BL46+BF17+BD31+AL36+AI50+AJ50+AJ81-S17)</f>
        <v>17927.866948707251</v>
      </c>
      <c r="S17" s="21">
        <f ca="1">(AN50+AP50+AS31+AO64+BE31)</f>
        <v>2080</v>
      </c>
      <c r="T17" s="22">
        <f t="shared" ca="1" si="22"/>
        <v>20007.866948707251</v>
      </c>
      <c r="U17" s="74"/>
      <c r="V17" s="7"/>
      <c r="W17" s="75"/>
      <c r="X17" s="15"/>
      <c r="Y17" s="16"/>
      <c r="Z17" s="17"/>
      <c r="AA17" s="66"/>
      <c r="AB17" s="34" t="s">
        <v>5</v>
      </c>
      <c r="AC17" s="35">
        <f t="shared" ca="1" si="4"/>
        <v>23869.127831637874</v>
      </c>
      <c r="AD17" s="40">
        <f ca="1">COUNTIF(U1,"Ocak")*(AI48)*-1
+COUNTIF(U1,"Şubat")*(AI49)*-1
+COUNTIF(U1,"Mart")*(AI50)*-1
+COUNTIF(U1,"Nisan")*(AI51)*-1
+COUNTIF(U1,"Mayıs")*(AI52)*-1
+COUNTIF(U1,"Haziran")*(AI53)*-1
+COUNTIF(U1,"Temmuz")*(AI54)*-1
+COUNTIF(U1,"Ağustos")*(AI55)*-1
+COUNTIF(U1,"Eylül")*(AI56)*-1
+COUNTIF(U1,"Ekim")*(AI57)*-1
+COUNTIF(U1,"Kasım")*(AI58)*-1
+COUNTIF(U1,"Aralık")*(AI59)*-1
+COUNTIF(U1,"Yıllık Toplam")*(AI60)*-1
+COUNTIF(U1,"Yıllık Ortalama")*(AI61)*-1</f>
        <v>23869.127831637874</v>
      </c>
      <c r="AE17" s="39">
        <v>15</v>
      </c>
      <c r="AF17" s="44">
        <v>7.5</v>
      </c>
      <c r="AG17" s="45">
        <v>0.17</v>
      </c>
      <c r="AH17" s="34" t="s">
        <v>92</v>
      </c>
      <c r="AI17" s="35">
        <v>369.94</v>
      </c>
      <c r="AJ17" s="35">
        <v>369.94</v>
      </c>
      <c r="AL17" s="36">
        <f>(1.5)</f>
        <v>1.5</v>
      </c>
      <c r="AM17" s="39" t="s">
        <v>0</v>
      </c>
      <c r="AN17" s="40">
        <f>($AN$15*$AL$17)</f>
        <v>325.26300000000003</v>
      </c>
      <c r="AO17" s="40">
        <f>($AO$15*$AL$17)</f>
        <v>325.26300000000003</v>
      </c>
      <c r="AP17" s="51">
        <f t="shared" ref="AP17:AP26" si="31">(AQ16+1)</f>
        <v>44986</v>
      </c>
      <c r="AQ17" s="51">
        <f t="shared" si="21"/>
        <v>45016</v>
      </c>
      <c r="AR17" s="52">
        <f t="shared" si="23"/>
        <v>31</v>
      </c>
      <c r="AS17" s="52">
        <f t="shared" si="24"/>
        <v>27</v>
      </c>
      <c r="AT17" s="52">
        <f t="shared" si="25"/>
        <v>4</v>
      </c>
      <c r="AU17" s="40">
        <f ca="1">IF(AT31-AU31&gt;=0,AT31-AU31,0)</f>
        <v>0</v>
      </c>
      <c r="AV17" s="40">
        <f ca="1">(AU17*AL67*-1)</f>
        <v>0</v>
      </c>
      <c r="AW17" s="40">
        <f>(10.7*H17)</f>
        <v>278.2</v>
      </c>
      <c r="AX17" s="40">
        <f ca="1">(AW17*AM81)</f>
        <v>198.88796200000002</v>
      </c>
      <c r="AY17" s="40">
        <f>COUNTIF($A$1,"2011-Öncesi-Römorkör Kaptanı-Nezaretçi")*(16.48*J23)
+COUNTIF($A$1,"2011-Öncesi-Baş Makinist-Nezaretçi")*(16.48*J23)
+COUNTIF($A$1,"2011-Öncesi-Liman Kaptanı-Nezaretçi")*(16.48*J23)
+COUNTIF($A$1,"2011-Öncesi-Gemici-Usta")*(8.1*J23)
+COUNTIF($A$1,"2011-Öncesi-Gemici-Uzman")*(8.1*J23)
+COUNTIF($A$1,"2011-Öncesi-Yağcı-Usta")*(8.1*J23)
+COUNTIF($A$1,"2011-Öncesi-Yağcı-Uzman")*(8.1*J23)
+COUNTIF($A$1,"2011-Öncesi-Elektrikçi-Nezaretçi")*(8.1*J23)
+COUNTIF($A$1,"2011-Sonrası-Liman Kaptanı-Nezaretçi")*(16.48*J23)
+COUNTIF($A$1,"2011-Sonrası-Gemici-Usta")*(8.1*J23)
+COUNTIF($A$1,"2011-Sonrası-Gemici-Uzman")*(8.1*J23)
+COUNTIF($A$1,"2012-Sonrası-Römorkör Kaptanı-Nezaretçi")*(16.48*J23)
+COUNTIF($A$1,"2012-Sonrası-Gemici-Usta")*(8.1*J23)
+COUNTIF($A$1,"2012-Sonrası-Gemici-Uzman")*(8.1*J23)
+COUNTIF($A$1,"2012-Sonrası-Yağcı-Usta")*(8.1*J23)
+COUNTIF($A$1,"2012-Sonrası-Yağcı-Uzman")*(8.1*J23)
+COUNTIF($A$1,"2013-Sonrası-Römorkör Kaptanı-Nezaretçi")*(16.48*J23)
+COUNTIF($A$1,"2013-Sonrası-Baş Makinist-Nezaretçi")*(16.48*J23)
+COUNTIF($A$1,"2013-Sonrası-Liman Kaptanı-Nezaretçi")*(16.48*J23)
+COUNTIF($A$1,"2013-Sonrası-Gemici-Usta")*(8.1*J23)
+COUNTIF($A$1,"2013-Sonrası-Gemici-Uzman")*(8.1*J23)
+COUNTIF($A$1,"2013-Sonrası-Yağcı-Usta")*(8.1*J23)
+COUNTIF($A$1,"2013-Sonrası-Yağcı-Uzman")*(8.1*J23)
+COUNTIF($A$1,"2013-Sonrası-Elektrikçi-Nezaretçi")*(8.1*J23)
+COUNTIF($A$1,"2015-Sonrası-Liman Kaptanı-Nezaretçi")*(16.48*J23)
+COUNTIF($A$1,"2015-Sonrası-Elektrikçi-Nezaretçi")*(8.1*J23)</f>
        <v>0</v>
      </c>
      <c r="AZ17" s="40">
        <f ca="1">(AY17*AM81)</f>
        <v>0</v>
      </c>
      <c r="BA17" s="40">
        <f>($AN$15*L17)</f>
        <v>0</v>
      </c>
      <c r="BB17" s="40">
        <f ca="1">(BA17+(BA17*0.00759*-1)+((BA17-BC17)*0.14*-1)+((BA17-BC17)*0.01*-1)+(BA17+((BA17-BC17)*0.14*-1)+((BA17-BC17)*0.01*-1))*AL67*-1)</f>
        <v>0</v>
      </c>
      <c r="BC17" s="40">
        <f>($AN$3*L17)</f>
        <v>0</v>
      </c>
      <c r="BD17" s="40">
        <f>($AN$6*L17)</f>
        <v>0</v>
      </c>
      <c r="BE17" s="36" t="s">
        <v>11</v>
      </c>
      <c r="BF17" s="40">
        <f>COUNTIF(BE17,"Var")*(AP3*0.84*-1)</f>
        <v>-307.87679999999995</v>
      </c>
      <c r="BG17" s="40">
        <f t="shared" si="26"/>
        <v>307.87679999999995</v>
      </c>
      <c r="BH17" s="40">
        <f>($AN$8)</f>
        <v>10008</v>
      </c>
      <c r="BI17" s="40">
        <f>($AN$8)</f>
        <v>10008</v>
      </c>
      <c r="BJ17" s="40">
        <f t="shared" si="27"/>
        <v>0</v>
      </c>
      <c r="BK17" s="40">
        <f t="shared" si="28"/>
        <v>0</v>
      </c>
      <c r="BL17" s="40">
        <f t="shared" si="29"/>
        <v>10008</v>
      </c>
      <c r="BM17" s="53">
        <f>IF(BO32=0,BN32,(VLOOKUP($BN32,$BJ$1:$BM$5,2,0)-BM31)/BL32*BN31+(BM32-VLOOKUP($BN32,$BJ$1:$BM$5,2,0))/BL32*BN32)</f>
        <v>0.15</v>
      </c>
      <c r="BN17" s="40">
        <f>(ROUND(BL32*BM17,2))</f>
        <v>1276.02</v>
      </c>
      <c r="BO17" s="53">
        <f t="shared" si="30"/>
        <v>0.84491000000000005</v>
      </c>
      <c r="BP17" s="40">
        <f>BH17</f>
        <v>10008</v>
      </c>
      <c r="BQ17" s="40">
        <f>BH17+BK17+BI31+BJ31</f>
        <v>8506.7999999999993</v>
      </c>
    </row>
    <row r="18" spans="1:69" ht="39.950000000000003" customHeight="1" x14ac:dyDescent="0.25">
      <c r="A18" s="19">
        <f ca="1">(AL68)</f>
        <v>0.15</v>
      </c>
      <c r="B18" s="20" t="s">
        <v>15</v>
      </c>
      <c r="C18" s="69">
        <v>0</v>
      </c>
      <c r="D18" s="70">
        <v>0</v>
      </c>
      <c r="E18" s="70">
        <v>0</v>
      </c>
      <c r="F18" s="70">
        <v>0</v>
      </c>
      <c r="G18" s="69">
        <v>26</v>
      </c>
      <c r="H18" s="69">
        <v>26</v>
      </c>
      <c r="I18" s="69">
        <v>0</v>
      </c>
      <c r="J18" s="69">
        <v>0</v>
      </c>
      <c r="K18" s="71" t="s">
        <v>1</v>
      </c>
      <c r="L18" s="69">
        <v>0</v>
      </c>
      <c r="M18" s="69">
        <v>0</v>
      </c>
      <c r="N18" s="69">
        <v>0</v>
      </c>
      <c r="O18" s="69">
        <v>0</v>
      </c>
      <c r="P18" s="72" t="s">
        <v>1</v>
      </c>
      <c r="Q18" s="73">
        <v>0</v>
      </c>
      <c r="R18" s="21">
        <f ca="1">(BL47+BF18+BD32+AL37+AI51+AJ51+AJ82-S18)</f>
        <v>9804.9734395072519</v>
      </c>
      <c r="S18" s="21">
        <f ca="1">(AN51+AP51+AS32+AO65+BE32)</f>
        <v>2080</v>
      </c>
      <c r="T18" s="22">
        <f t="shared" ca="1" si="22"/>
        <v>11884.973439507252</v>
      </c>
      <c r="U18" s="74"/>
      <c r="V18" s="7"/>
      <c r="W18" s="75"/>
      <c r="X18" s="15"/>
      <c r="Y18" s="16"/>
      <c r="Z18" s="17"/>
      <c r="AA18" s="66"/>
      <c r="AB18" s="34" t="s">
        <v>6</v>
      </c>
      <c r="AC18" s="35">
        <f t="shared" ca="1" si="4"/>
        <v>1704.9377022598478</v>
      </c>
      <c r="AD18" s="40">
        <f ca="1">COUNTIF(U1,"Ocak")*(AJ48)*-1
+COUNTIF(U1,"Şubat")*(AJ49)*-1
+COUNTIF(U1,"Mart")*(AJ50)*-1
+COUNTIF(U1,"Nisan")*(AJ51)*-1
+COUNTIF(U1,"Mayıs")*(AJ52)*-1
+COUNTIF(U1,"Haziran")*(AJ53)*-1
+COUNTIF(U1,"Temmuz")*(AJ54)*-1
+COUNTIF(U1,"Ağustos")*(AJ55)*-1
+COUNTIF(U1,"Eylül")*(AJ56)*-1
+COUNTIF(U1,"Ekim")*(AJ57)*-1
+COUNTIF(U1,"Kasım")*(AJ58)*-1
+COUNTIF(U1,"Aralık")*(AJ59)*-1
+COUNTIF(U1,"Yıllık Toplam")*(AJ60)*-1
+COUNTIF(U1,"Yıllık Ortalama")*(AJ61)*-1</f>
        <v>1704.9377022598478</v>
      </c>
      <c r="AE18" s="39">
        <v>16</v>
      </c>
      <c r="AF18" s="44">
        <v>8</v>
      </c>
      <c r="AG18" s="45">
        <v>0.18</v>
      </c>
      <c r="AH18" s="34" t="s">
        <v>93</v>
      </c>
      <c r="AI18" s="35">
        <v>369.94</v>
      </c>
      <c r="AJ18" s="35">
        <v>369.94</v>
      </c>
      <c r="AL18" s="39" t="s">
        <v>0</v>
      </c>
      <c r="AM18" s="39" t="s">
        <v>0</v>
      </c>
      <c r="AN18" s="40">
        <f>($AN$17/2)</f>
        <v>162.63150000000002</v>
      </c>
      <c r="AO18" s="40">
        <f>($AO$17/2)</f>
        <v>162.63150000000002</v>
      </c>
      <c r="AP18" s="51">
        <f t="shared" si="31"/>
        <v>45017</v>
      </c>
      <c r="AQ18" s="51">
        <f t="shared" si="21"/>
        <v>45046</v>
      </c>
      <c r="AR18" s="52">
        <f t="shared" si="23"/>
        <v>30</v>
      </c>
      <c r="AS18" s="52">
        <f t="shared" si="24"/>
        <v>25</v>
      </c>
      <c r="AT18" s="52">
        <f t="shared" si="25"/>
        <v>5</v>
      </c>
      <c r="AU18" s="40">
        <f ca="1">IF(AT32-AU32&gt;=0,AT32-AU32,0)</f>
        <v>0</v>
      </c>
      <c r="AV18" s="40">
        <f ca="1">(AU18*AL68*-1)</f>
        <v>0</v>
      </c>
      <c r="AW18" s="40">
        <f>(10.7*H18)</f>
        <v>278.2</v>
      </c>
      <c r="AX18" s="40">
        <f ca="1">(AW18*AM82)</f>
        <v>198.88796200000002</v>
      </c>
      <c r="AY18" s="40">
        <f>COUNTIF($A$1,"2011-Öncesi-Römorkör Kaptanı-Nezaretçi")*(16.48*J24)
+COUNTIF($A$1,"2011-Öncesi-Baş Makinist-Nezaretçi")*(16.48*J24)
+COUNTIF($A$1,"2011-Öncesi-Liman Kaptanı-Nezaretçi")*(16.48*J24)
+COUNTIF($A$1,"2011-Öncesi-Gemici-Usta")*(8.1*J24)
+COUNTIF($A$1,"2011-Öncesi-Gemici-Uzman")*(8.1*J24)
+COUNTIF($A$1,"2011-Öncesi-Yağcı-Usta")*(8.1*J24)
+COUNTIF($A$1,"2011-Öncesi-Yağcı-Uzman")*(8.1*J24)
+COUNTIF($A$1,"2011-Öncesi-Elektrikçi-Nezaretçi")*(8.1*J24)
+COUNTIF($A$1,"2011-Sonrası-Liman Kaptanı-Nezaretçi")*(16.48*J24)
+COUNTIF($A$1,"2011-Sonrası-Gemici-Usta")*(8.1*J24)
+COUNTIF($A$1,"2011-Sonrası-Gemici-Uzman")*(8.1*J24)
+COUNTIF($A$1,"2012-Sonrası-Römorkör Kaptanı-Nezaretçi")*(16.48*J24)
+COUNTIF($A$1,"2012-Sonrası-Gemici-Usta")*(8.1*J24)
+COUNTIF($A$1,"2012-Sonrası-Gemici-Uzman")*(8.1*J24)
+COUNTIF($A$1,"2012-Sonrası-Yağcı-Usta")*(8.1*J24)
+COUNTIF($A$1,"2012-Sonrası-Yağcı-Uzman")*(8.1*J24)
+COUNTIF($A$1,"2013-Sonrası-Römorkör Kaptanı-Nezaretçi")*(16.48*J24)
+COUNTIF($A$1,"2013-Sonrası-Baş Makinist-Nezaretçi")*(16.48*J24)
+COUNTIF($A$1,"2013-Sonrası-Liman Kaptanı-Nezaretçi")*(16.48*J24)
+COUNTIF($A$1,"2013-Sonrası-Gemici-Usta")*(8.1*J24)
+COUNTIF($A$1,"2013-Sonrası-Gemici-Uzman")*(8.1*J24)
+COUNTIF($A$1,"2013-Sonrası-Yağcı-Usta")*(8.1*J24)
+COUNTIF($A$1,"2013-Sonrası-Yağcı-Uzman")*(8.1*J24)
+COUNTIF($A$1,"2013-Sonrası-Elektrikçi-Nezaretçi")*(8.1*J24)
+COUNTIF($A$1,"2015-Sonrası-Liman Kaptanı-Nezaretçi")*(16.48*J24)
+COUNTIF($A$1,"2015-Sonrası-Elektrikçi-Nezaretçi")*(8.1*J24)</f>
        <v>0</v>
      </c>
      <c r="AZ18" s="40">
        <f ca="1">(AY18*AM82)</f>
        <v>0</v>
      </c>
      <c r="BA18" s="40">
        <f>($AN$15*L18)</f>
        <v>0</v>
      </c>
      <c r="BB18" s="40">
        <f ca="1">(BA18+(BA18*0.00759*-1)+((BA18-BC18)*0.14*-1)+((BA18-BC18)*0.01*-1)+(BA18+((BA18-BC18)*0.14*-1)+((BA18-BC18)*0.01*-1))*AL68*-1)</f>
        <v>0</v>
      </c>
      <c r="BC18" s="40">
        <f>($AN$3*L18)</f>
        <v>0</v>
      </c>
      <c r="BD18" s="40">
        <f>($AN$6*L18)</f>
        <v>0</v>
      </c>
      <c r="BE18" s="36" t="s">
        <v>11</v>
      </c>
      <c r="BF18" s="40">
        <f>COUNTIF(BE18,"Var")*(AP4*0.84*-1)</f>
        <v>-307.87679999999995</v>
      </c>
      <c r="BG18" s="40">
        <f t="shared" si="26"/>
        <v>307.87679999999995</v>
      </c>
      <c r="BH18" s="40">
        <f>($AN$8)</f>
        <v>10008</v>
      </c>
      <c r="BI18" s="40">
        <f>($AN$8)</f>
        <v>10008</v>
      </c>
      <c r="BJ18" s="40">
        <f t="shared" si="27"/>
        <v>0</v>
      </c>
      <c r="BK18" s="40">
        <f t="shared" si="28"/>
        <v>0</v>
      </c>
      <c r="BL18" s="40">
        <f t="shared" si="29"/>
        <v>10008</v>
      </c>
      <c r="BM18" s="53">
        <f>IF(BO33=0,BN33,(VLOOKUP($BN33,$BJ$1:$BM$5,2,0)-BM32)/BL33*BN32+(BM33-VLOOKUP($BN33,$BJ$1:$BM$5,2,0))/BL33*BN33)</f>
        <v>0.15</v>
      </c>
      <c r="BN18" s="40">
        <f>(ROUND(BL33*BM18,2))</f>
        <v>1276.02</v>
      </c>
      <c r="BO18" s="53">
        <f t="shared" si="30"/>
        <v>0.84491000000000005</v>
      </c>
      <c r="BP18" s="40">
        <f>BH18</f>
        <v>10008</v>
      </c>
      <c r="BQ18" s="40">
        <f>BH18+BK18+BI32+BJ32</f>
        <v>8506.7999999999993</v>
      </c>
    </row>
    <row r="19" spans="1:69" ht="39.950000000000003" customHeight="1" x14ac:dyDescent="0.25">
      <c r="A19" s="19">
        <f ca="1">(AL69)</f>
        <v>0.15</v>
      </c>
      <c r="B19" s="20" t="s">
        <v>16</v>
      </c>
      <c r="C19" s="69">
        <v>0</v>
      </c>
      <c r="D19" s="70">
        <v>0</v>
      </c>
      <c r="E19" s="70">
        <v>0</v>
      </c>
      <c r="F19" s="70">
        <v>0</v>
      </c>
      <c r="G19" s="69">
        <v>26</v>
      </c>
      <c r="H19" s="69">
        <v>26</v>
      </c>
      <c r="I19" s="69">
        <v>0</v>
      </c>
      <c r="J19" s="69">
        <v>0</v>
      </c>
      <c r="K19" s="71" t="s">
        <v>1</v>
      </c>
      <c r="L19" s="69">
        <v>0</v>
      </c>
      <c r="M19" s="69">
        <v>0</v>
      </c>
      <c r="N19" s="69">
        <v>0</v>
      </c>
      <c r="O19" s="69">
        <v>0</v>
      </c>
      <c r="P19" s="72" t="s">
        <v>1</v>
      </c>
      <c r="Q19" s="73">
        <v>0</v>
      </c>
      <c r="R19" s="21">
        <f ca="1">(BL48+BF19+BD33+AL38+AI52+AJ52+AJ83-S19)</f>
        <v>10067.003552707254</v>
      </c>
      <c r="S19" s="21">
        <f ca="1">(AN52+AP52+AS33+AO66+BE33)</f>
        <v>2080</v>
      </c>
      <c r="T19" s="22">
        <f t="shared" ca="1" si="22"/>
        <v>12147.003552707254</v>
      </c>
      <c r="U19" s="74"/>
      <c r="V19" s="7"/>
      <c r="W19" s="75"/>
      <c r="X19" s="15"/>
      <c r="Y19" s="16"/>
      <c r="Z19" s="17"/>
      <c r="AA19" s="66"/>
      <c r="AB19" s="34" t="s">
        <v>35</v>
      </c>
      <c r="AC19" s="35">
        <f t="shared" ca="1" si="4"/>
        <v>7747.9699999999993</v>
      </c>
      <c r="AD19" s="40">
        <f ca="1">COUNTIF(U1,"Ocak")*(AJ79)*-1
+COUNTIF(U1,"Şubat")*(AJ80)*-1
+COUNTIF(U1,"Mart")*(AJ81)*-1
+COUNTIF(U1,"Nisan")*(AJ82)*-1
+COUNTIF(U1,"Mayıs")*(AJ83)*-1
+COUNTIF(U1,"Haziran")*(AJ84)*-1
+COUNTIF(U1,"Temmuz")*(AJ85)*-1
+COUNTIF(U1,"Ağustos")*(AJ86)*-1
+COUNTIF(U1,"Eylül")*(AJ87)*-1
+COUNTIF(U1,"Ekim")*(AJ88)*-1
+COUNTIF(U1,"Kasım")*(AJ89)*-1
+COUNTIF(U1,"Aralık")*(AJ90)*-1
+COUNTIF(U1,"Yıllık Toplam")*(AJ91)*-1
+COUNTIF(U1,"Yıllık Ortalama")*(AJ92)*-1</f>
        <v>7747.9699999999993</v>
      </c>
      <c r="AE19" s="39">
        <v>17</v>
      </c>
      <c r="AF19" s="44">
        <v>8.5</v>
      </c>
      <c r="AG19" s="45">
        <v>0.19</v>
      </c>
      <c r="AH19" s="34" t="s">
        <v>94</v>
      </c>
      <c r="AI19" s="35">
        <v>363.05</v>
      </c>
      <c r="AJ19" s="35">
        <v>363.05</v>
      </c>
      <c r="AP19" s="51">
        <f t="shared" si="31"/>
        <v>45047</v>
      </c>
      <c r="AQ19" s="51">
        <f t="shared" si="21"/>
        <v>45077</v>
      </c>
      <c r="AR19" s="52">
        <f t="shared" si="23"/>
        <v>31</v>
      </c>
      <c r="AS19" s="52">
        <f t="shared" si="24"/>
        <v>27</v>
      </c>
      <c r="AT19" s="52">
        <f t="shared" si="25"/>
        <v>4</v>
      </c>
      <c r="AU19" s="40">
        <f ca="1">IF(AT33-AU33&gt;=0,AT33-AU33,0)</f>
        <v>0</v>
      </c>
      <c r="AV19" s="40">
        <f ca="1">(AU19*AL69*-1)</f>
        <v>0</v>
      </c>
      <c r="AW19" s="40">
        <f>(10.7*H19)</f>
        <v>278.2</v>
      </c>
      <c r="AX19" s="40">
        <f ca="1">(AW19*AM83)</f>
        <v>198.88796200000002</v>
      </c>
      <c r="AY19" s="40">
        <f>COUNTIF($A$1,"2011-Öncesi-Römorkör Kaptanı-Nezaretçi")*(16.48*J25)
+COUNTIF($A$1,"2011-Öncesi-Baş Makinist-Nezaretçi")*(16.48*J25)
+COUNTIF($A$1,"2011-Öncesi-Liman Kaptanı-Nezaretçi")*(16.48*J25)
+COUNTIF($A$1,"2011-Öncesi-Gemici-Usta")*(8.1*J25)
+COUNTIF($A$1,"2011-Öncesi-Gemici-Uzman")*(8.1*J25)
+COUNTIF($A$1,"2011-Öncesi-Yağcı-Usta")*(8.1*J25)
+COUNTIF($A$1,"2011-Öncesi-Yağcı-Uzman")*(8.1*J25)
+COUNTIF($A$1,"2011-Öncesi-Elektrikçi-Nezaretçi")*(8.1*J25)
+COUNTIF($A$1,"2011-Sonrası-Liman Kaptanı-Nezaretçi")*(16.48*J25)
+COUNTIF($A$1,"2011-Sonrası-Gemici-Usta")*(8.1*J25)
+COUNTIF($A$1,"2011-Sonrası-Gemici-Uzman")*(8.1*J25)
+COUNTIF($A$1,"2012-Sonrası-Römorkör Kaptanı-Nezaretçi")*(16.48*J25)
+COUNTIF($A$1,"2012-Sonrası-Gemici-Usta")*(8.1*J25)
+COUNTIF($A$1,"2012-Sonrası-Gemici-Uzman")*(8.1*J25)
+COUNTIF($A$1,"2012-Sonrası-Yağcı-Usta")*(8.1*J25)
+COUNTIF($A$1,"2012-Sonrası-Yağcı-Uzman")*(8.1*J25)
+COUNTIF($A$1,"2013-Sonrası-Römorkör Kaptanı-Nezaretçi")*(16.48*J25)
+COUNTIF($A$1,"2013-Sonrası-Baş Makinist-Nezaretçi")*(16.48*J25)
+COUNTIF($A$1,"2013-Sonrası-Liman Kaptanı-Nezaretçi")*(16.48*J25)
+COUNTIF($A$1,"2013-Sonrası-Gemici-Usta")*(8.1*J25)
+COUNTIF($A$1,"2013-Sonrası-Gemici-Uzman")*(8.1*J25)
+COUNTIF($A$1,"2013-Sonrası-Yağcı-Usta")*(8.1*J25)
+COUNTIF($A$1,"2013-Sonrası-Yağcı-Uzman")*(8.1*J25)
+COUNTIF($A$1,"2013-Sonrası-Elektrikçi-Nezaretçi")*(8.1*J25)
+COUNTIF($A$1,"2015-Sonrası-Liman Kaptanı-Nezaretçi")*(16.48*J25)
+COUNTIF($A$1,"2015-Sonrası-Elektrikçi-Nezaretçi")*(8.1*J25)</f>
        <v>0</v>
      </c>
      <c r="AZ19" s="40">
        <f ca="1">(AY19*AM83)</f>
        <v>0</v>
      </c>
      <c r="BA19" s="40">
        <f>($AN$15*L19)</f>
        <v>0</v>
      </c>
      <c r="BB19" s="40">
        <f ca="1">(BA19+(BA19*0.00759*-1)+((BA19-BC19)*0.14*-1)+((BA19-BC19)*0.01*-1)+(BA19+((BA19-BC19)*0.14*-1)+((BA19-BC19)*0.01*-1))*AL69*-1)</f>
        <v>0</v>
      </c>
      <c r="BC19" s="40">
        <f>($AN$3*L19)</f>
        <v>0</v>
      </c>
      <c r="BD19" s="40">
        <f>($AN$6*L19)</f>
        <v>0</v>
      </c>
      <c r="BE19" s="36" t="s">
        <v>11</v>
      </c>
      <c r="BF19" s="40">
        <f>COUNTIF(BE19,"Var")*(AP5*0.84*-1)</f>
        <v>-307.87679999999995</v>
      </c>
      <c r="BG19" s="40">
        <f t="shared" si="26"/>
        <v>307.87679999999995</v>
      </c>
      <c r="BH19" s="40">
        <f>($AN$8)</f>
        <v>10008</v>
      </c>
      <c r="BI19" s="40">
        <f>($AN$8)</f>
        <v>10008</v>
      </c>
      <c r="BJ19" s="40">
        <f t="shared" si="27"/>
        <v>0</v>
      </c>
      <c r="BK19" s="40">
        <f t="shared" si="28"/>
        <v>0</v>
      </c>
      <c r="BL19" s="40">
        <f t="shared" si="29"/>
        <v>10008</v>
      </c>
      <c r="BM19" s="53">
        <f>IF(BO34=0,BN34,(VLOOKUP($BN34,$BJ$1:$BM$5,2,0)-BM33)/BL34*BN33+(BM34-VLOOKUP($BN34,$BJ$1:$BM$5,2,0))/BL34*BN34)</f>
        <v>0.15</v>
      </c>
      <c r="BN19" s="40">
        <f>(ROUND(BL34*BM19,2))</f>
        <v>1276.02</v>
      </c>
      <c r="BO19" s="53">
        <f t="shared" si="30"/>
        <v>0.84491000000000005</v>
      </c>
      <c r="BP19" s="40">
        <f>BH19</f>
        <v>10008</v>
      </c>
      <c r="BQ19" s="40">
        <f>BH19+BK19+BI33+BJ33</f>
        <v>8506.7999999999993</v>
      </c>
    </row>
    <row r="20" spans="1:69" ht="39.950000000000003" customHeight="1" x14ac:dyDescent="0.25">
      <c r="A20" s="19">
        <f ca="1">(AL70)</f>
        <v>0.1962282274033966</v>
      </c>
      <c r="B20" s="20" t="s">
        <v>17</v>
      </c>
      <c r="C20" s="69">
        <v>0</v>
      </c>
      <c r="D20" s="70">
        <v>0</v>
      </c>
      <c r="E20" s="70">
        <v>0</v>
      </c>
      <c r="F20" s="70">
        <v>0</v>
      </c>
      <c r="G20" s="69">
        <v>26</v>
      </c>
      <c r="H20" s="69">
        <v>26</v>
      </c>
      <c r="I20" s="69">
        <v>0</v>
      </c>
      <c r="J20" s="69">
        <v>0</v>
      </c>
      <c r="K20" s="71" t="s">
        <v>1</v>
      </c>
      <c r="L20" s="69">
        <v>0</v>
      </c>
      <c r="M20" s="69">
        <v>0</v>
      </c>
      <c r="N20" s="69">
        <v>0</v>
      </c>
      <c r="O20" s="69">
        <v>0</v>
      </c>
      <c r="P20" s="72" t="s">
        <v>1</v>
      </c>
      <c r="Q20" s="73">
        <v>0</v>
      </c>
      <c r="R20" s="21">
        <f ca="1">(BL49+BF20+BD34+AL39+AI53+AJ53+AJ84-S20)</f>
        <v>9340.4934395072523</v>
      </c>
      <c r="S20" s="21">
        <f ca="1">(AN53+AP53+AS34+AO67+BE34)</f>
        <v>2080</v>
      </c>
      <c r="T20" s="22">
        <f t="shared" ca="1" si="22"/>
        <v>11420.493439507252</v>
      </c>
      <c r="U20" s="74"/>
      <c r="V20" s="7"/>
      <c r="W20" s="75"/>
      <c r="X20" s="15"/>
      <c r="Y20" s="16"/>
      <c r="Z20" s="17"/>
      <c r="AA20" s="66"/>
      <c r="AB20" s="34" t="s">
        <v>63</v>
      </c>
      <c r="AC20" s="35">
        <f t="shared" ca="1" si="4"/>
        <v>227303.81431327231</v>
      </c>
      <c r="AD20" s="40">
        <f ca="1">COUNTIF(U1,"Ocak")*(AM93)
+COUNTIF(U1,"Şubat")*(AM94)
+COUNTIF(U1,"Mart")*(AM95)
+COUNTIF(U1,"Nisan")*(AM96)
+COUNTIF(U1,"Mayıs")*(AM97)
+COUNTIF(U1,"Haziran")*(AM98)
+COUNTIF(U1,"Temmuz")*(AM99)
+COUNTIF(U1,"Ağustos")*(AM100)
+COUNTIF(U1,"Eylül")*(AM101)
+COUNTIF(U1,"Ekim")*(AM102)
+COUNTIF(U1,"Kasım")*(AM103)
+COUNTIF(U1,"Aralık")*(AM104)
+COUNTIF(U1,"Yıllık Toplam")*(AM105)
+COUNTIF(U1,"Yıllık Ortalama")*(AM106)</f>
        <v>227303.81431327231</v>
      </c>
      <c r="AE20" s="39">
        <v>18</v>
      </c>
      <c r="AF20" s="44">
        <v>9</v>
      </c>
      <c r="AG20" s="45">
        <v>0.2</v>
      </c>
      <c r="AH20" s="34" t="s">
        <v>95</v>
      </c>
      <c r="AI20" s="35">
        <v>360.52</v>
      </c>
      <c r="AJ20" s="35">
        <v>360.52</v>
      </c>
      <c r="AL20" s="39">
        <f>(1500)</f>
        <v>1500</v>
      </c>
      <c r="AM20" s="39" t="s">
        <v>0</v>
      </c>
      <c r="AN20" s="40">
        <f>($AL$27*$AL$20)</f>
        <v>650.52600000000007</v>
      </c>
      <c r="AO20" s="40">
        <f>($AM$27*$AL$20)</f>
        <v>650.52600000000007</v>
      </c>
      <c r="AP20" s="51">
        <f t="shared" si="31"/>
        <v>45078</v>
      </c>
      <c r="AQ20" s="51">
        <f t="shared" si="21"/>
        <v>45107</v>
      </c>
      <c r="AR20" s="52">
        <f t="shared" si="23"/>
        <v>30</v>
      </c>
      <c r="AS20" s="52">
        <f t="shared" si="24"/>
        <v>26</v>
      </c>
      <c r="AT20" s="52">
        <f t="shared" si="25"/>
        <v>4</v>
      </c>
      <c r="AU20" s="40">
        <f ca="1">IF(AT34-AU34&gt;=0,AT34-AU34,0)</f>
        <v>0</v>
      </c>
      <c r="AV20" s="40">
        <f ca="1">(AU20*AL70*-1)</f>
        <v>0</v>
      </c>
      <c r="AW20" s="40">
        <f>(10.7*H20)</f>
        <v>278.2</v>
      </c>
      <c r="AX20" s="40">
        <f ca="1">(AW20*AM84)</f>
        <v>187.9563730659188</v>
      </c>
      <c r="AY20" s="40">
        <f>COUNTIF($A$1,"2011-Öncesi-Römorkör Kaptanı-Nezaretçi")*(16.48*J26)
+COUNTIF($A$1,"2011-Öncesi-Baş Makinist-Nezaretçi")*(16.48*J26)
+COUNTIF($A$1,"2011-Öncesi-Liman Kaptanı-Nezaretçi")*(16.48*J26)
+COUNTIF($A$1,"2011-Öncesi-Gemici-Usta")*(8.1*J26)
+COUNTIF($A$1,"2011-Öncesi-Gemici-Uzman")*(8.1*J26)
+COUNTIF($A$1,"2011-Öncesi-Yağcı-Usta")*(8.1*J26)
+COUNTIF($A$1,"2011-Öncesi-Yağcı-Uzman")*(8.1*J26)
+COUNTIF($A$1,"2011-Öncesi-Elektrikçi-Nezaretçi")*(8.1*J26)
+COUNTIF($A$1,"2011-Sonrası-Liman Kaptanı-Nezaretçi")*(16.48*J26)
+COUNTIF($A$1,"2011-Sonrası-Gemici-Usta")*(8.1*J26)
+COUNTIF($A$1,"2011-Sonrası-Gemici-Uzman")*(8.1*J26)
+COUNTIF($A$1,"2012-Sonrası-Römorkör Kaptanı-Nezaretçi")*(16.48*J26)
+COUNTIF($A$1,"2012-Sonrası-Gemici-Usta")*(8.1*J26)
+COUNTIF($A$1,"2012-Sonrası-Gemici-Uzman")*(8.1*J26)
+COUNTIF($A$1,"2012-Sonrası-Yağcı-Usta")*(8.1*J26)
+COUNTIF($A$1,"2012-Sonrası-Yağcı-Uzman")*(8.1*J26)
+COUNTIF($A$1,"2013-Sonrası-Römorkör Kaptanı-Nezaretçi")*(16.48*J26)
+COUNTIF($A$1,"2013-Sonrası-Baş Makinist-Nezaretçi")*(16.48*J26)
+COUNTIF($A$1,"2013-Sonrası-Liman Kaptanı-Nezaretçi")*(16.48*J26)
+COUNTIF($A$1,"2013-Sonrası-Gemici-Usta")*(8.1*J26)
+COUNTIF($A$1,"2013-Sonrası-Gemici-Uzman")*(8.1*J26)
+COUNTIF($A$1,"2013-Sonrası-Yağcı-Usta")*(8.1*J26)
+COUNTIF($A$1,"2013-Sonrası-Yağcı-Uzman")*(8.1*J26)
+COUNTIF($A$1,"2013-Sonrası-Elektrikçi-Nezaretçi")*(8.1*J26)
+COUNTIF($A$1,"2015-Sonrası-Liman Kaptanı-Nezaretçi")*(16.48*J26)
+COUNTIF($A$1,"2015-Sonrası-Elektrikçi-Nezaretçi")*(8.1*J26)</f>
        <v>0</v>
      </c>
      <c r="AZ20" s="40">
        <f ca="1">(AY20*AM84)</f>
        <v>0</v>
      </c>
      <c r="BA20" s="40">
        <f>($AN$15*L20)</f>
        <v>0</v>
      </c>
      <c r="BB20" s="40">
        <f ca="1">(BA20+(BA20*0.00759*-1)+((BA20-BC20)*0.14*-1)+((BA20-BC20)*0.01*-1)+(BA20+((BA20-BC20)*0.14*-1)+((BA20-BC20)*0.01*-1))*AL70*-1)</f>
        <v>0</v>
      </c>
      <c r="BC20" s="40">
        <f>($AN$3*L20)</f>
        <v>0</v>
      </c>
      <c r="BD20" s="40">
        <f>($AN$6*L20)</f>
        <v>0</v>
      </c>
      <c r="BE20" s="36" t="s">
        <v>11</v>
      </c>
      <c r="BF20" s="40">
        <f>COUNTIF(BE20,"Var")*(AP6*0.84*-1)</f>
        <v>-307.87679999999995</v>
      </c>
      <c r="BG20" s="40">
        <f t="shared" si="26"/>
        <v>307.87679999999995</v>
      </c>
      <c r="BH20" s="40">
        <f>($AN$8)</f>
        <v>10008</v>
      </c>
      <c r="BI20" s="40">
        <f>($AN$8)</f>
        <v>10008</v>
      </c>
      <c r="BJ20" s="40">
        <f t="shared" si="27"/>
        <v>0</v>
      </c>
      <c r="BK20" s="40">
        <f t="shared" si="28"/>
        <v>0</v>
      </c>
      <c r="BL20" s="40">
        <f t="shared" si="29"/>
        <v>10008</v>
      </c>
      <c r="BM20" s="53">
        <f>IF(BO35=0,BN35,(VLOOKUP($BN35,$BJ$1:$BM$5,2,0)-BM34)/BL35*BN34+(BM35-VLOOKUP($BN35,$BJ$1:$BM$5,2,0))/BL35*BN35)</f>
        <v>0.15</v>
      </c>
      <c r="BN20" s="40">
        <f>(ROUND(BL35*BM20,2))</f>
        <v>1276.02</v>
      </c>
      <c r="BO20" s="53">
        <f t="shared" si="30"/>
        <v>0.84491000000000005</v>
      </c>
      <c r="BP20" s="40">
        <f>BH20</f>
        <v>10008</v>
      </c>
      <c r="BQ20" s="40">
        <f>BH20+BK20+BI34+BJ34</f>
        <v>8506.7999999999993</v>
      </c>
    </row>
    <row r="21" spans="1:69" ht="39.950000000000003" customHeight="1" x14ac:dyDescent="0.25">
      <c r="A21" s="19">
        <f ca="1">(AL71)</f>
        <v>0.2</v>
      </c>
      <c r="B21" s="20" t="s">
        <v>18</v>
      </c>
      <c r="C21" s="69">
        <v>0</v>
      </c>
      <c r="D21" s="70">
        <v>0</v>
      </c>
      <c r="E21" s="70">
        <v>0</v>
      </c>
      <c r="F21" s="70">
        <v>0</v>
      </c>
      <c r="G21" s="69">
        <v>26</v>
      </c>
      <c r="H21" s="69">
        <v>26</v>
      </c>
      <c r="I21" s="69">
        <v>0</v>
      </c>
      <c r="J21" s="69">
        <v>0</v>
      </c>
      <c r="K21" s="71" t="s">
        <v>1</v>
      </c>
      <c r="L21" s="69">
        <v>0</v>
      </c>
      <c r="M21" s="69">
        <v>0</v>
      </c>
      <c r="N21" s="69">
        <v>0</v>
      </c>
      <c r="O21" s="69">
        <v>0</v>
      </c>
      <c r="P21" s="72" t="s">
        <v>1</v>
      </c>
      <c r="Q21" s="73">
        <v>0</v>
      </c>
      <c r="R21" s="21">
        <f ca="1">(BL50+BF21+BD35+AL40+AI54+AJ54+AJ85-S21)</f>
        <v>9549.043552707255</v>
      </c>
      <c r="S21" s="21">
        <f ca="1">(AN54+AP54+AS35+AO68+BE35)</f>
        <v>2080</v>
      </c>
      <c r="T21" s="22">
        <f t="shared" ca="1" si="22"/>
        <v>11629.043552707255</v>
      </c>
      <c r="U21" s="74"/>
      <c r="V21" s="7"/>
      <c r="W21" s="75"/>
      <c r="X21" s="15"/>
      <c r="Y21" s="16"/>
      <c r="Z21" s="17"/>
      <c r="AA21" s="66"/>
      <c r="AB21" s="37" t="s">
        <v>42</v>
      </c>
      <c r="AC21" s="35">
        <f t="shared" ca="1" si="4"/>
        <v>157714.55863208708</v>
      </c>
      <c r="AD21" s="35">
        <f ca="1">COUNTIF(U1,"Ocak")*T15
+COUNTIF(U1,"Şubat")*T16
+COUNTIF(U1,"Mart")*T17
+COUNTIF(U1,"Nisan")*T18
+COUNTIF(U1,"Mayıs")*T19
+COUNTIF(U1,"Haziran")*T20
+COUNTIF(U1,"Temmuz")*T21
+COUNTIF(U1,"Ağustos")*T22
+COUNTIF(U1,"Eylül")*T23
+COUNTIF(U1,"Ekim")*T24
+COUNTIF(U1,"Kasım")*T25
+COUNTIF(U1,"Aralık")*T26
+COUNTIF(U1,"Yıllık Toplam")*(T27)*-1
+COUNTIF(U1,"Yıllık Ortalama")*(T28)*-1</f>
        <v>-157714.55863208708</v>
      </c>
      <c r="AE21" s="39">
        <v>19</v>
      </c>
      <c r="AF21" s="44">
        <v>9.5</v>
      </c>
      <c r="AG21" s="45">
        <v>0.21</v>
      </c>
      <c r="AH21" s="34" t="s">
        <v>96</v>
      </c>
      <c r="AI21" s="35">
        <v>360.52</v>
      </c>
      <c r="AJ21" s="35">
        <v>360.52</v>
      </c>
      <c r="AL21" s="39">
        <f>(8000)</f>
        <v>8000</v>
      </c>
      <c r="AM21" s="39" t="s">
        <v>0</v>
      </c>
      <c r="AN21" s="40">
        <f>($AL$27*$AL$21)</f>
        <v>3469.4720000000002</v>
      </c>
      <c r="AO21" s="40">
        <f>($AM$27*$AL$21)</f>
        <v>3469.4720000000002</v>
      </c>
      <c r="AP21" s="51">
        <f t="shared" si="31"/>
        <v>45108</v>
      </c>
      <c r="AQ21" s="51">
        <f t="shared" si="21"/>
        <v>45138</v>
      </c>
      <c r="AR21" s="52">
        <f t="shared" si="23"/>
        <v>31</v>
      </c>
      <c r="AS21" s="52">
        <f t="shared" si="24"/>
        <v>26</v>
      </c>
      <c r="AT21" s="52">
        <f t="shared" si="25"/>
        <v>5</v>
      </c>
      <c r="AU21" s="40">
        <f ca="1">IF(AT35-AU35&gt;=0,AT35-AU35,0)</f>
        <v>0</v>
      </c>
      <c r="AV21" s="40">
        <f ca="1">(AU21*AL71*-1)</f>
        <v>0</v>
      </c>
      <c r="AW21" s="40">
        <f>(10.7*H21)</f>
        <v>278.2</v>
      </c>
      <c r="AX21" s="40">
        <f ca="1">(AW21*AM85)</f>
        <v>187.06446199999999</v>
      </c>
      <c r="AY21" s="40">
        <f>COUNTIF($A$1,"2011-Öncesi-Römorkör Kaptanı-Nezaretçi")*(16.48*J21)
+COUNTIF($A$1,"2011-Öncesi-Baş Makinist-Nezaretçi")*(16.48*J21)
+COUNTIF($A$1,"2011-Öncesi-Liman Kaptanı-Nezaretçi")*(16.48*J21)
+COUNTIF($A$1,"2011-Öncesi-Gemici-Usta")*(8.1*J21)
+COUNTIF($A$1,"2011-Öncesi-Gemici-Uzman")*(8.1*J21)
+COUNTIF($A$1,"2011-Öncesi-Yağcı-Usta")*(8.1*J21)
+COUNTIF($A$1,"2011-Öncesi-Yağcı-Uzman")*(8.1*J21)
+COUNTIF($A$1,"2011-Öncesi-Elektrikçi-Nezaretçi")*(8.1*J21)
+COUNTIF($A$1,"2011-Sonrası-Liman Kaptanı-Nezaretçi")*(16.48*J21)
+COUNTIF($A$1,"2011-Sonrası-Gemici-Usta")*(8.1*J21)
+COUNTIF($A$1,"2011-Sonrası-Gemici-Uzman")*(8.1*J21)
+COUNTIF($A$1,"2012-Sonrası-Römorkör Kaptanı-Nezaretçi")*(16.48*J21)
+COUNTIF($A$1,"2012-Sonrası-Gemici-Usta")*(8.1*J21)
+COUNTIF($A$1,"2012-Sonrası-Gemici-Uzman")*(8.1*J21)
+COUNTIF($A$1,"2012-Sonrası-Yağcı-Usta")*(8.1*J21)
+COUNTIF($A$1,"2012-Sonrası-Yağcı-Uzman")*(8.1*J21)
+COUNTIF($A$1,"2013-Sonrası-Römorkör Kaptanı-Nezaretçi")*(16.48*J21)
+COUNTIF($A$1,"2013-Sonrası-Baş Makinist-Nezaretçi")*(16.48*J21)
+COUNTIF($A$1,"2013-Sonrası-Liman Kaptanı-Nezaretçi")*(16.48*J21)
+COUNTIF($A$1,"2013-Sonrası-Gemici-Usta")*(8.1*J21)
+COUNTIF($A$1,"2013-Sonrası-Gemici-Uzman")*(8.1*J21)
+COUNTIF($A$1,"2013-Sonrası-Yağcı-Usta")*(8.1*J21)
+COUNTIF($A$1,"2013-Sonrası-Yağcı-Uzman")*(8.1*J21)
+COUNTIF($A$1,"2013-Sonrası-Elektrikçi-Nezaretçi")*(8.1*J21)
+COUNTIF($A$1,"2015-Sonrası-Liman Kaptanı-Nezaretçi")*(16.48*J21)
+COUNTIF($A$1,"2015-Sonrası-Elektrikçi-Nezaretçi")*(8.1*J21)</f>
        <v>0</v>
      </c>
      <c r="AZ21" s="40">
        <f ca="1">(AY21*AM85)</f>
        <v>0</v>
      </c>
      <c r="BA21" s="40">
        <f>($AO$15*L21)</f>
        <v>0</v>
      </c>
      <c r="BB21" s="40">
        <f ca="1">(BA21+(BA21*0.00759*-1)+((BA21-BC21)*0.14*-1)+((BA21-BC21)*0.01*-1)+(BA21+((BA21-BC21)*0.14*-1)+((BA21-BC21)*0.01*-1))*AL71*-1)</f>
        <v>0</v>
      </c>
      <c r="BC21" s="40">
        <f>($AO$3*L21)</f>
        <v>0</v>
      </c>
      <c r="BD21" s="40">
        <f>($AO$6*L21)</f>
        <v>0</v>
      </c>
      <c r="BE21" s="36" t="s">
        <v>11</v>
      </c>
      <c r="BF21" s="40">
        <f>COUNTIF(BE21,"Var")*(AP7*0.84*-1)</f>
        <v>-307.87679999999995</v>
      </c>
      <c r="BG21" s="40">
        <f t="shared" si="26"/>
        <v>307.87679999999995</v>
      </c>
      <c r="BH21" s="40">
        <f>($AO$8)</f>
        <v>10008</v>
      </c>
      <c r="BI21" s="40">
        <f>($AO$8)</f>
        <v>10008</v>
      </c>
      <c r="BJ21" s="40">
        <f t="shared" si="27"/>
        <v>0</v>
      </c>
      <c r="BK21" s="40">
        <f t="shared" si="28"/>
        <v>0</v>
      </c>
      <c r="BL21" s="40">
        <f t="shared" si="29"/>
        <v>10008</v>
      </c>
      <c r="BM21" s="53">
        <f>IF(BO36=0,BN36,(VLOOKUP($BN36,$BJ$1:$BM$5,2,0)-BM35)/BL36*BN35+(BM36-VLOOKUP($BN36,$BJ$1:$BM$5,2,0))/BL36*BN36)</f>
        <v>0.15</v>
      </c>
      <c r="BN21" s="40">
        <f>(ROUND(BL36*BM21,2))</f>
        <v>1276.02</v>
      </c>
      <c r="BO21" s="53">
        <f t="shared" si="30"/>
        <v>0.84491000000000005</v>
      </c>
      <c r="BP21" s="40">
        <f>BH21</f>
        <v>10008</v>
      </c>
      <c r="BQ21" s="40">
        <f>BH21+BK21+BI35+BJ35</f>
        <v>8506.7999999999993</v>
      </c>
    </row>
    <row r="22" spans="1:69" ht="39.950000000000003" customHeight="1" x14ac:dyDescent="0.25">
      <c r="A22" s="19">
        <f ca="1">(AL72)</f>
        <v>0.2</v>
      </c>
      <c r="B22" s="20" t="s">
        <v>19</v>
      </c>
      <c r="C22" s="69">
        <v>0</v>
      </c>
      <c r="D22" s="70">
        <v>0</v>
      </c>
      <c r="E22" s="70">
        <v>0</v>
      </c>
      <c r="F22" s="70">
        <v>0</v>
      </c>
      <c r="G22" s="69">
        <v>26</v>
      </c>
      <c r="H22" s="69">
        <v>26</v>
      </c>
      <c r="I22" s="69">
        <v>0</v>
      </c>
      <c r="J22" s="69">
        <v>0</v>
      </c>
      <c r="K22" s="71" t="s">
        <v>1</v>
      </c>
      <c r="L22" s="69">
        <v>0</v>
      </c>
      <c r="M22" s="69">
        <v>0</v>
      </c>
      <c r="N22" s="69">
        <v>0</v>
      </c>
      <c r="O22" s="69">
        <v>0</v>
      </c>
      <c r="P22" s="72" t="s">
        <v>1</v>
      </c>
      <c r="Q22" s="73">
        <v>0</v>
      </c>
      <c r="R22" s="21">
        <f ca="1">(BL51+BF22+BD36+AL41+AI55+AJ55+AJ86-S22)</f>
        <v>9549.043552707255</v>
      </c>
      <c r="S22" s="21">
        <f ca="1">(AN55+AP55+AS36+AO69+BE36)</f>
        <v>2080</v>
      </c>
      <c r="T22" s="22">
        <f t="shared" ca="1" si="22"/>
        <v>11629.043552707255</v>
      </c>
      <c r="U22" s="74"/>
      <c r="V22" s="7"/>
      <c r="W22" s="75"/>
      <c r="X22" s="15"/>
      <c r="Y22" s="16"/>
      <c r="Z22" s="17"/>
      <c r="AA22" s="66"/>
      <c r="AB22" s="37" t="s">
        <v>43</v>
      </c>
      <c r="AC22" s="35">
        <f t="shared" ca="1" si="4"/>
        <v>37396.011593897652</v>
      </c>
      <c r="AD22" s="35">
        <f ca="1">COUNTIF(U1,"Ocak")*(BL44-T15)
+COUNTIF(U1,"Şubat")*(BL45-T16)
+COUNTIF(U1,"Mart")*(BL46-T17)
+COUNTIF(U1,"Nisan")*(BL47-T18)
+COUNTIF(U1,"Mayıs")*(BL48-T19)
+COUNTIF(U1,"Haziran")*(BL49-T20)
+COUNTIF(U1,"Temmuz")*(BL50-T21)
+COUNTIF(U1,"Ağustos")*(BL51-T22)
+COUNTIF(U1,"Eylül")*(BL52-T23)
+COUNTIF(U1,"Ekim")*(BL53-T24)
+COUNTIF(U1,"Kasım")*(BL54-T25)
+COUNTIF(U1,"Aralık")*(BL55-T26)
+COUNTIF(U1,"Yıllık Toplam")*(BL56-T27)*-1
+COUNTIF(U1,"Yıllık Ortalama")*(BL57-T28)*-1</f>
        <v>-37396.011593897652</v>
      </c>
      <c r="AE22" s="39">
        <v>20</v>
      </c>
      <c r="AF22" s="44">
        <v>10</v>
      </c>
      <c r="AG22" s="45">
        <v>0.22</v>
      </c>
      <c r="AH22" s="34" t="s">
        <v>97</v>
      </c>
      <c r="AI22" s="35">
        <v>360.52</v>
      </c>
      <c r="AJ22" s="35">
        <v>360.52</v>
      </c>
      <c r="AL22" s="39">
        <f>(500)</f>
        <v>500</v>
      </c>
      <c r="AM22" s="39" t="s">
        <v>0</v>
      </c>
      <c r="AN22" s="40">
        <f>($AL$27*$AL$22)</f>
        <v>216.84200000000001</v>
      </c>
      <c r="AO22" s="40">
        <f>($AM$27*$AL$22)</f>
        <v>216.84200000000001</v>
      </c>
      <c r="AP22" s="51">
        <f t="shared" si="31"/>
        <v>45139</v>
      </c>
      <c r="AQ22" s="51">
        <f t="shared" si="21"/>
        <v>45169</v>
      </c>
      <c r="AR22" s="52">
        <f t="shared" si="23"/>
        <v>31</v>
      </c>
      <c r="AS22" s="52">
        <f t="shared" si="24"/>
        <v>27</v>
      </c>
      <c r="AT22" s="52">
        <f t="shared" si="25"/>
        <v>4</v>
      </c>
      <c r="AU22" s="40">
        <f ca="1">IF(AT36-AU36&gt;=0,AT36-AU36,0)</f>
        <v>0</v>
      </c>
      <c r="AV22" s="40">
        <f ca="1">(AU22*AL72*-1)</f>
        <v>0</v>
      </c>
      <c r="AW22" s="40">
        <f>(10.7*H22)</f>
        <v>278.2</v>
      </c>
      <c r="AX22" s="40">
        <f ca="1">(AW22*AM86)</f>
        <v>187.06446199999999</v>
      </c>
      <c r="AY22" s="40">
        <f>COUNTIF($A$1,"2011-Öncesi-Römorkör Kaptanı-Nezaretçi")*(16.48*J22)
+COUNTIF($A$1,"2011-Öncesi-Baş Makinist-Nezaretçi")*(16.48*J22)
+COUNTIF($A$1,"2011-Öncesi-Liman Kaptanı-Nezaretçi")*(16.48*J22)
+COUNTIF($A$1,"2011-Öncesi-Gemici-Usta")*(8.1*J22)
+COUNTIF($A$1,"2011-Öncesi-Gemici-Uzman")*(8.1*J22)
+COUNTIF($A$1,"2011-Öncesi-Yağcı-Usta")*(8.1*J22)
+COUNTIF($A$1,"2011-Öncesi-Yağcı-Uzman")*(8.1*J22)
+COUNTIF($A$1,"2011-Öncesi-Elektrikçi-Nezaretçi")*(8.1*J22)
+COUNTIF($A$1,"2011-Sonrası-Liman Kaptanı-Nezaretçi")*(16.48*J22)
+COUNTIF($A$1,"2011-Sonrası-Gemici-Usta")*(8.1*J22)
+COUNTIF($A$1,"2011-Sonrası-Gemici-Uzman")*(8.1*J22)
+COUNTIF($A$1,"2012-Sonrası-Römorkör Kaptanı-Nezaretçi")*(16.48*J22)
+COUNTIF($A$1,"2012-Sonrası-Gemici-Usta")*(8.1*J22)
+COUNTIF($A$1,"2012-Sonrası-Gemici-Uzman")*(8.1*J22)
+COUNTIF($A$1,"2012-Sonrası-Yağcı-Usta")*(8.1*J22)
+COUNTIF($A$1,"2012-Sonrası-Yağcı-Uzman")*(8.1*J22)
+COUNTIF($A$1,"2013-Sonrası-Römorkör Kaptanı-Nezaretçi")*(16.48*J22)
+COUNTIF($A$1,"2013-Sonrası-Baş Makinist-Nezaretçi")*(16.48*J22)
+COUNTIF($A$1,"2013-Sonrası-Liman Kaptanı-Nezaretçi")*(16.48*J22)
+COUNTIF($A$1,"2013-Sonrası-Gemici-Usta")*(8.1*J22)
+COUNTIF($A$1,"2013-Sonrası-Gemici-Uzman")*(8.1*J22)
+COUNTIF($A$1,"2013-Sonrası-Yağcı-Usta")*(8.1*J22)
+COUNTIF($A$1,"2013-Sonrası-Yağcı-Uzman")*(8.1*J22)
+COUNTIF($A$1,"2013-Sonrası-Elektrikçi-Nezaretçi")*(8.1*J22)
+COUNTIF($A$1,"2015-Sonrası-Liman Kaptanı-Nezaretçi")*(16.48*J22)
+COUNTIF($A$1,"2015-Sonrası-Elektrikçi-Nezaretçi")*(8.1*J22)</f>
        <v>0</v>
      </c>
      <c r="AZ22" s="40">
        <f ca="1">(AY22*AM86)</f>
        <v>0</v>
      </c>
      <c r="BA22" s="40">
        <f>($AO$15*L22)</f>
        <v>0</v>
      </c>
      <c r="BB22" s="40">
        <f ca="1">(BA22+(BA22*0.00759*-1)+((BA22-BC22)*0.14*-1)+((BA22-BC22)*0.01*-1)+(BA22+((BA22-BC22)*0.14*-1)+((BA22-BC22)*0.01*-1))*AL72*-1)</f>
        <v>0</v>
      </c>
      <c r="BC22" s="40">
        <f>($AO$3*L22)</f>
        <v>0</v>
      </c>
      <c r="BD22" s="40">
        <f>($AO$6*L22)</f>
        <v>0</v>
      </c>
      <c r="BE22" s="36" t="s">
        <v>11</v>
      </c>
      <c r="BF22" s="40">
        <f>COUNTIF(BE22,"Var")*(AP8*0.84*-1)</f>
        <v>-307.87679999999995</v>
      </c>
      <c r="BG22" s="40">
        <f t="shared" si="26"/>
        <v>307.87679999999995</v>
      </c>
      <c r="BH22" s="40">
        <f>($AO$8)</f>
        <v>10008</v>
      </c>
      <c r="BI22" s="40">
        <f>($AO$8)</f>
        <v>10008</v>
      </c>
      <c r="BJ22" s="40">
        <f t="shared" si="27"/>
        <v>0</v>
      </c>
      <c r="BK22" s="40">
        <f t="shared" si="28"/>
        <v>0</v>
      </c>
      <c r="BL22" s="40">
        <f t="shared" si="29"/>
        <v>10008</v>
      </c>
      <c r="BM22" s="53">
        <f>IF(BO37=0,BN37,(VLOOKUP($BN37,$BJ$1:$BM$5,2,0)-BM36)/BL37*BN36+(BM37-VLOOKUP($BN37,$BJ$1:$BM$5,2,0))/BL37*BN37)</f>
        <v>0.15</v>
      </c>
      <c r="BN22" s="40">
        <f>(ROUND(BL37*BM22,2))</f>
        <v>1276.02</v>
      </c>
      <c r="BO22" s="53">
        <f t="shared" si="30"/>
        <v>0.84491000000000005</v>
      </c>
      <c r="BP22" s="40">
        <f>BH22</f>
        <v>10008</v>
      </c>
      <c r="BQ22" s="40">
        <f>BH22+BK22+BI36+BJ36</f>
        <v>8506.7999999999993</v>
      </c>
    </row>
    <row r="23" spans="1:69" ht="39.950000000000003" customHeight="1" x14ac:dyDescent="0.25">
      <c r="A23" s="19">
        <f ca="1">(AL73)</f>
        <v>0.2</v>
      </c>
      <c r="B23" s="20" t="s">
        <v>20</v>
      </c>
      <c r="C23" s="69">
        <v>0</v>
      </c>
      <c r="D23" s="70">
        <v>0</v>
      </c>
      <c r="E23" s="70">
        <v>0</v>
      </c>
      <c r="F23" s="70">
        <v>0</v>
      </c>
      <c r="G23" s="69">
        <v>26</v>
      </c>
      <c r="H23" s="69">
        <v>26</v>
      </c>
      <c r="I23" s="69">
        <v>0</v>
      </c>
      <c r="J23" s="69">
        <v>0</v>
      </c>
      <c r="K23" s="71" t="s">
        <v>1</v>
      </c>
      <c r="L23" s="69">
        <v>0</v>
      </c>
      <c r="M23" s="69">
        <v>0</v>
      </c>
      <c r="N23" s="69">
        <v>0</v>
      </c>
      <c r="O23" s="69">
        <v>0</v>
      </c>
      <c r="P23" s="72" t="s">
        <v>1</v>
      </c>
      <c r="Q23" s="73">
        <v>0</v>
      </c>
      <c r="R23" s="21">
        <f ca="1">(BL52+BF23+BD37+AL42+AI56+AJ56+AJ87-S23)</f>
        <v>9630.6534395072522</v>
      </c>
      <c r="S23" s="21">
        <f ca="1">(AN56+AP56+AS37+AO70+BE37)</f>
        <v>2080</v>
      </c>
      <c r="T23" s="22">
        <f t="shared" ca="1" si="22"/>
        <v>11710.653439507252</v>
      </c>
      <c r="U23" s="74"/>
      <c r="V23" s="7"/>
      <c r="W23" s="75"/>
      <c r="X23" s="15"/>
      <c r="Y23" s="16"/>
      <c r="Z23" s="17"/>
      <c r="AA23" s="66"/>
      <c r="AB23" s="34" t="s">
        <v>0</v>
      </c>
      <c r="AC23" s="54" t="s">
        <v>25</v>
      </c>
      <c r="AD23" s="54" t="s">
        <v>66</v>
      </c>
      <c r="AE23" s="39">
        <v>21</v>
      </c>
      <c r="AF23" s="44">
        <v>10.5</v>
      </c>
      <c r="AG23" s="45">
        <v>0.23</v>
      </c>
      <c r="AH23" s="34" t="s">
        <v>98</v>
      </c>
      <c r="AI23" s="35">
        <v>363.05</v>
      </c>
      <c r="AJ23" s="35">
        <v>363.05</v>
      </c>
      <c r="AL23" s="39">
        <f>(1000)</f>
        <v>1000</v>
      </c>
      <c r="AM23" s="39" t="s">
        <v>0</v>
      </c>
      <c r="AN23" s="40">
        <f>($AL$28*$AL$23)</f>
        <v>6787.9920000000002</v>
      </c>
      <c r="AO23" s="40">
        <f>($AM$28*$AL$23)</f>
        <v>6787.9920000000002</v>
      </c>
      <c r="AP23" s="51">
        <f t="shared" si="31"/>
        <v>45170</v>
      </c>
      <c r="AQ23" s="51">
        <f t="shared" si="21"/>
        <v>45199</v>
      </c>
      <c r="AR23" s="52">
        <f t="shared" si="23"/>
        <v>30</v>
      </c>
      <c r="AS23" s="52">
        <f t="shared" si="24"/>
        <v>26</v>
      </c>
      <c r="AT23" s="52">
        <f t="shared" si="25"/>
        <v>4</v>
      </c>
      <c r="AU23" s="40">
        <f ca="1">IF(AT37-AU37&gt;=0,AT37-AU37,0)</f>
        <v>0</v>
      </c>
      <c r="AV23" s="40">
        <f ca="1">(AU23*AL73*-1)</f>
        <v>0</v>
      </c>
      <c r="AW23" s="40">
        <f>(10.7*H23)</f>
        <v>278.2</v>
      </c>
      <c r="AX23" s="40">
        <f ca="1">(AW23*AM87)</f>
        <v>187.06446199999999</v>
      </c>
      <c r="AY23" s="40">
        <f>COUNTIF($A$1,"2011-Öncesi-Römorkör Kaptanı-Nezaretçi")*(16.48*J23)
+COUNTIF($A$1,"2011-Öncesi-Baş Makinist-Nezaretçi")*(16.48*J23)
+COUNTIF($A$1,"2011-Öncesi-Liman Kaptanı-Nezaretçi")*(16.48*J23)
+COUNTIF($A$1,"2011-Öncesi-Gemici-Usta")*(8.1*J23)
+COUNTIF($A$1,"2011-Öncesi-Gemici-Uzman")*(8.1*J23)
+COUNTIF($A$1,"2011-Öncesi-Yağcı-Usta")*(8.1*J23)
+COUNTIF($A$1,"2011-Öncesi-Yağcı-Uzman")*(8.1*J23)
+COUNTIF($A$1,"2011-Öncesi-Elektrikçi-Nezaretçi")*(8.1*J23)
+COUNTIF($A$1,"2011-Sonrası-Liman Kaptanı-Nezaretçi")*(16.48*J23)
+COUNTIF($A$1,"2011-Sonrası-Gemici-Usta")*(8.1*J23)
+COUNTIF($A$1,"2011-Sonrası-Gemici-Uzman")*(8.1*J23)
+COUNTIF($A$1,"2012-Sonrası-Römorkör Kaptanı-Nezaretçi")*(16.48*J23)
+COUNTIF($A$1,"2012-Sonrası-Gemici-Usta")*(8.1*J23)
+COUNTIF($A$1,"2012-Sonrası-Gemici-Uzman")*(8.1*J23)
+COUNTIF($A$1,"2012-Sonrası-Yağcı-Usta")*(8.1*J23)
+COUNTIF($A$1,"2012-Sonrası-Yağcı-Uzman")*(8.1*J23)
+COUNTIF($A$1,"2013-Sonrası-Römorkör Kaptanı-Nezaretçi")*(16.48*J23)
+COUNTIF($A$1,"2013-Sonrası-Baş Makinist-Nezaretçi")*(16.48*J23)
+COUNTIF($A$1,"2013-Sonrası-Liman Kaptanı-Nezaretçi")*(16.48*J23)
+COUNTIF($A$1,"2013-Sonrası-Gemici-Usta")*(8.1*J23)
+COUNTIF($A$1,"2013-Sonrası-Gemici-Uzman")*(8.1*J23)
+COUNTIF($A$1,"2013-Sonrası-Yağcı-Usta")*(8.1*J23)
+COUNTIF($A$1,"2013-Sonrası-Yağcı-Uzman")*(8.1*J23)
+COUNTIF($A$1,"2013-Sonrası-Elektrikçi-Nezaretçi")*(8.1*J23)
+COUNTIF($A$1,"2015-Sonrası-Liman Kaptanı-Nezaretçi")*(16.48*J23)
+COUNTIF($A$1,"2015-Sonrası-Elektrikçi-Nezaretçi")*(8.1*J23)</f>
        <v>0</v>
      </c>
      <c r="AZ23" s="40">
        <f ca="1">(AY23*AM87)</f>
        <v>0</v>
      </c>
      <c r="BA23" s="40">
        <f>($AO$15*L23)</f>
        <v>0</v>
      </c>
      <c r="BB23" s="40">
        <f ca="1">(BA23+(BA23*0.00759*-1)+((BA23-BC23)*0.14*-1)+((BA23-BC23)*0.01*-1)+(BA23+((BA23-BC23)*0.14*-1)+((BA23-BC23)*0.01*-1))*AL73*-1)</f>
        <v>0</v>
      </c>
      <c r="BC23" s="40">
        <f>($AO$3*L23)</f>
        <v>0</v>
      </c>
      <c r="BD23" s="40">
        <f>($AO$6*L23)</f>
        <v>0</v>
      </c>
      <c r="BE23" s="36" t="s">
        <v>11</v>
      </c>
      <c r="BF23" s="40">
        <f>COUNTIF(BE23,"Var")*(AP9*0.84*-1)</f>
        <v>-307.87679999999995</v>
      </c>
      <c r="BG23" s="40">
        <f t="shared" si="26"/>
        <v>307.87679999999995</v>
      </c>
      <c r="BH23" s="40">
        <f>($AO$8)</f>
        <v>10008</v>
      </c>
      <c r="BI23" s="40">
        <f>($AO$8)</f>
        <v>10008</v>
      </c>
      <c r="BJ23" s="40">
        <f t="shared" si="27"/>
        <v>0</v>
      </c>
      <c r="BK23" s="40">
        <f t="shared" si="28"/>
        <v>0</v>
      </c>
      <c r="BL23" s="40">
        <f t="shared" si="29"/>
        <v>10008</v>
      </c>
      <c r="BM23" s="53">
        <f>IF(BO38=0,BN38,(VLOOKUP($BN38,$BJ$1:$BM$5,2,0)-BM37)/BL38*BN37+(BM38-VLOOKUP($BN38,$BJ$1:$BM$5,2,0))/BL38*BN38)</f>
        <v>0.18856444256359634</v>
      </c>
      <c r="BN23" s="40">
        <f>(ROUND(BL38*BM23,2))</f>
        <v>1604.08</v>
      </c>
      <c r="BO23" s="53">
        <f t="shared" si="30"/>
        <v>0.81213022382094313</v>
      </c>
      <c r="BP23" s="40">
        <f>BH23</f>
        <v>10008</v>
      </c>
      <c r="BQ23" s="40">
        <f>BH23+BK23+BI37+BJ37</f>
        <v>8506.7999999999993</v>
      </c>
    </row>
    <row r="24" spans="1:69" ht="39.950000000000003" customHeight="1" x14ac:dyDescent="0.25">
      <c r="A24" s="19">
        <f ca="1">(AL74)</f>
        <v>0.2</v>
      </c>
      <c r="B24" s="20" t="s">
        <v>21</v>
      </c>
      <c r="C24" s="69">
        <v>0</v>
      </c>
      <c r="D24" s="70">
        <v>0</v>
      </c>
      <c r="E24" s="70">
        <v>0</v>
      </c>
      <c r="F24" s="70">
        <v>0</v>
      </c>
      <c r="G24" s="69">
        <v>26</v>
      </c>
      <c r="H24" s="69">
        <v>26</v>
      </c>
      <c r="I24" s="69">
        <v>0</v>
      </c>
      <c r="J24" s="69">
        <v>0</v>
      </c>
      <c r="K24" s="71" t="s">
        <v>1</v>
      </c>
      <c r="L24" s="69">
        <v>0</v>
      </c>
      <c r="M24" s="69">
        <v>0</v>
      </c>
      <c r="N24" s="69">
        <v>0</v>
      </c>
      <c r="O24" s="69">
        <v>0</v>
      </c>
      <c r="P24" s="72" t="s">
        <v>1</v>
      </c>
      <c r="Q24" s="73">
        <v>0</v>
      </c>
      <c r="R24" s="21">
        <f ca="1">(BL53+BF24+BD38+AL43+AI57+AJ57+AJ88-S24)</f>
        <v>9974.3835527072551</v>
      </c>
      <c r="S24" s="21">
        <f ca="1">(AN57+AP57+AS38+AO71+BE38)</f>
        <v>2080</v>
      </c>
      <c r="T24" s="22">
        <f t="shared" ca="1" si="22"/>
        <v>12054.383552707255</v>
      </c>
      <c r="U24" s="74"/>
      <c r="V24" s="7"/>
      <c r="W24" s="75"/>
      <c r="X24" s="15"/>
      <c r="Y24" s="16"/>
      <c r="Z24" s="17"/>
      <c r="AA24" s="66"/>
      <c r="AB24" s="34" t="s">
        <v>0</v>
      </c>
      <c r="AC24" s="55" t="s">
        <v>24</v>
      </c>
      <c r="AD24" s="56" t="s">
        <v>119</v>
      </c>
      <c r="AE24" s="39">
        <v>22</v>
      </c>
      <c r="AF24" s="44">
        <v>11</v>
      </c>
      <c r="AG24" s="45">
        <v>0.24</v>
      </c>
      <c r="AH24" s="34" t="s">
        <v>99</v>
      </c>
      <c r="AI24" s="35">
        <v>360.52</v>
      </c>
      <c r="AJ24" s="35">
        <v>360.52</v>
      </c>
      <c r="AL24" s="39">
        <f>($AL$20+$AL$21)</f>
        <v>9500</v>
      </c>
      <c r="AM24" s="39">
        <f>(2.15)</f>
        <v>2.15</v>
      </c>
      <c r="AN24" s="40">
        <f>($AL$27*$AL$24*$AM$24)</f>
        <v>8857.9957000000013</v>
      </c>
      <c r="AO24" s="40">
        <f>($AM$27*$AL$24*$AM$24)</f>
        <v>8857.9957000000013</v>
      </c>
      <c r="AP24" s="51">
        <f t="shared" si="31"/>
        <v>45200</v>
      </c>
      <c r="AQ24" s="51">
        <f t="shared" si="21"/>
        <v>45230</v>
      </c>
      <c r="AR24" s="52">
        <f t="shared" si="23"/>
        <v>31</v>
      </c>
      <c r="AS24" s="52">
        <f t="shared" si="24"/>
        <v>26</v>
      </c>
      <c r="AT24" s="52">
        <f t="shared" si="25"/>
        <v>5</v>
      </c>
      <c r="AU24" s="40">
        <f ca="1">IF(AT38-AU38&gt;=0,AT38-AU38,0)</f>
        <v>0</v>
      </c>
      <c r="AV24" s="40">
        <f ca="1">(AU24*AL74*-1)</f>
        <v>0</v>
      </c>
      <c r="AW24" s="40">
        <f>(10.7*H24)</f>
        <v>278.2</v>
      </c>
      <c r="AX24" s="40">
        <f ca="1">(AW24*AM88)</f>
        <v>187.06446199999999</v>
      </c>
      <c r="AY24" s="40">
        <f>COUNTIF($A$1,"2011-Öncesi-Römorkör Kaptanı-Nezaretçi")*(16.48*J24)
+COUNTIF($A$1,"2011-Öncesi-Baş Makinist-Nezaretçi")*(16.48*J24)
+COUNTIF($A$1,"2011-Öncesi-Liman Kaptanı-Nezaretçi")*(16.48*J24)
+COUNTIF($A$1,"2011-Öncesi-Gemici-Usta")*(8.1*J24)
+COUNTIF($A$1,"2011-Öncesi-Gemici-Uzman")*(8.1*J24)
+COUNTIF($A$1,"2011-Öncesi-Yağcı-Usta")*(8.1*J24)
+COUNTIF($A$1,"2011-Öncesi-Yağcı-Uzman")*(8.1*J24)
+COUNTIF($A$1,"2011-Öncesi-Elektrikçi-Nezaretçi")*(8.1*J24)
+COUNTIF($A$1,"2011-Sonrası-Liman Kaptanı-Nezaretçi")*(16.48*J24)
+COUNTIF($A$1,"2011-Sonrası-Gemici-Usta")*(8.1*J24)
+COUNTIF($A$1,"2011-Sonrası-Gemici-Uzman")*(8.1*J24)
+COUNTIF($A$1,"2012-Sonrası-Römorkör Kaptanı-Nezaretçi")*(16.48*J24)
+COUNTIF($A$1,"2012-Sonrası-Gemici-Usta")*(8.1*J24)
+COUNTIF($A$1,"2012-Sonrası-Gemici-Uzman")*(8.1*J24)
+COUNTIF($A$1,"2012-Sonrası-Yağcı-Usta")*(8.1*J24)
+COUNTIF($A$1,"2012-Sonrası-Yağcı-Uzman")*(8.1*J24)
+COUNTIF($A$1,"2013-Sonrası-Römorkör Kaptanı-Nezaretçi")*(16.48*J24)
+COUNTIF($A$1,"2013-Sonrası-Baş Makinist-Nezaretçi")*(16.48*J24)
+COUNTIF($A$1,"2013-Sonrası-Liman Kaptanı-Nezaretçi")*(16.48*J24)
+COUNTIF($A$1,"2013-Sonrası-Gemici-Usta")*(8.1*J24)
+COUNTIF($A$1,"2013-Sonrası-Gemici-Uzman")*(8.1*J24)
+COUNTIF($A$1,"2013-Sonrası-Yağcı-Usta")*(8.1*J24)
+COUNTIF($A$1,"2013-Sonrası-Yağcı-Uzman")*(8.1*J24)
+COUNTIF($A$1,"2013-Sonrası-Elektrikçi-Nezaretçi")*(8.1*J24)
+COUNTIF($A$1,"2015-Sonrası-Liman Kaptanı-Nezaretçi")*(16.48*J24)
+COUNTIF($A$1,"2015-Sonrası-Elektrikçi-Nezaretçi")*(8.1*J24)</f>
        <v>0</v>
      </c>
      <c r="AZ24" s="40">
        <f ca="1">(AY24*AM88)</f>
        <v>0</v>
      </c>
      <c r="BA24" s="40">
        <f>($AO$15*L24)</f>
        <v>0</v>
      </c>
      <c r="BB24" s="40">
        <f ca="1">(BA24+(BA24*0.00759*-1)+((BA24-BC24)*0.14*-1)+((BA24-BC24)*0.01*-1)+(BA24+((BA24-BC24)*0.14*-1)+((BA24-BC24)*0.01*-1))*AL74*-1)</f>
        <v>0</v>
      </c>
      <c r="BC24" s="40">
        <f>($AO$3*L24)</f>
        <v>0</v>
      </c>
      <c r="BD24" s="40">
        <f>($AO$6*L24)</f>
        <v>0</v>
      </c>
      <c r="BE24" s="36" t="s">
        <v>11</v>
      </c>
      <c r="BF24" s="40">
        <f>COUNTIF(BE24,"Var")*(AP10*0.84*-1)</f>
        <v>-307.87679999999995</v>
      </c>
      <c r="BG24" s="40">
        <f t="shared" si="26"/>
        <v>307.87679999999995</v>
      </c>
      <c r="BH24" s="40">
        <f>($AO$8)</f>
        <v>10008</v>
      </c>
      <c r="BI24" s="40">
        <f>($AO$8)</f>
        <v>10008</v>
      </c>
      <c r="BJ24" s="40">
        <f t="shared" si="27"/>
        <v>0</v>
      </c>
      <c r="BK24" s="40">
        <f t="shared" si="28"/>
        <v>0</v>
      </c>
      <c r="BL24" s="40">
        <f t="shared" si="29"/>
        <v>10008</v>
      </c>
      <c r="BM24" s="53">
        <f>IF(BO39=0,BN39,(VLOOKUP($BN39,$BJ$1:$BM$5,2,0)-BM38)/BL39*BN38+(BM39-VLOOKUP($BN39,$BJ$1:$BM$5,2,0))/BL39*BN39)</f>
        <v>0.2</v>
      </c>
      <c r="BN24" s="40">
        <f>(ROUND(BL39*BM24,2))</f>
        <v>1701.36</v>
      </c>
      <c r="BO24" s="53">
        <f t="shared" si="30"/>
        <v>0.80240999999999996</v>
      </c>
      <c r="BP24" s="40">
        <f>BH24</f>
        <v>10008</v>
      </c>
      <c r="BQ24" s="40">
        <f>BH24+BK24+BI38+BJ38</f>
        <v>8506.7999999999993</v>
      </c>
    </row>
    <row r="25" spans="1:69" ht="39.950000000000003" customHeight="1" x14ac:dyDescent="0.25">
      <c r="A25" s="19">
        <f ca="1">(AL75)</f>
        <v>0.2</v>
      </c>
      <c r="B25" s="20" t="s">
        <v>22</v>
      </c>
      <c r="C25" s="69">
        <v>0</v>
      </c>
      <c r="D25" s="70">
        <v>0</v>
      </c>
      <c r="E25" s="70">
        <v>0</v>
      </c>
      <c r="F25" s="70">
        <v>0</v>
      </c>
      <c r="G25" s="69">
        <v>26</v>
      </c>
      <c r="H25" s="69">
        <v>26</v>
      </c>
      <c r="I25" s="69">
        <v>0</v>
      </c>
      <c r="J25" s="69">
        <v>0</v>
      </c>
      <c r="K25" s="71" t="s">
        <v>1</v>
      </c>
      <c r="L25" s="69">
        <v>0</v>
      </c>
      <c r="M25" s="69">
        <v>0</v>
      </c>
      <c r="N25" s="69">
        <v>0</v>
      </c>
      <c r="O25" s="69">
        <v>0</v>
      </c>
      <c r="P25" s="72" t="s">
        <v>1</v>
      </c>
      <c r="Q25" s="73">
        <v>0</v>
      </c>
      <c r="R25" s="21">
        <f ca="1">(BL54+BF25+BD39+AL44+AI58+AJ58+AJ89-S25)</f>
        <v>9727.9334395072528</v>
      </c>
      <c r="S25" s="21">
        <f ca="1">(AN58+AP58+AS39+AO72+BE39)</f>
        <v>2080</v>
      </c>
      <c r="T25" s="22">
        <f t="shared" ca="1" si="22"/>
        <v>11807.933439507253</v>
      </c>
      <c r="U25" s="74"/>
      <c r="V25" s="7"/>
      <c r="W25" s="75"/>
      <c r="X25" s="15"/>
      <c r="Y25" s="16"/>
      <c r="Z25" s="17"/>
      <c r="AA25" s="66"/>
      <c r="AB25" s="34" t="s">
        <v>0</v>
      </c>
      <c r="AC25" s="55" t="s">
        <v>104</v>
      </c>
      <c r="AD25" s="56" t="s">
        <v>105</v>
      </c>
      <c r="AE25" s="39">
        <v>23</v>
      </c>
      <c r="AF25" s="44">
        <v>11.5</v>
      </c>
      <c r="AG25" s="45">
        <v>0.25</v>
      </c>
      <c r="AH25" s="34" t="s">
        <v>100</v>
      </c>
      <c r="AI25" s="35">
        <v>352.12</v>
      </c>
      <c r="AJ25" s="35">
        <v>352.12</v>
      </c>
      <c r="AL25" s="39" t="s">
        <v>0</v>
      </c>
      <c r="AM25" s="39" t="s">
        <v>0</v>
      </c>
      <c r="AN25" s="40">
        <f>($AN$20+$AN$21+$AN$22+$AN$23+$AN$24)</f>
        <v>19982.827700000002</v>
      </c>
      <c r="AO25" s="40">
        <f>($AO$20+$AO$21+$AO$22+$AO$23+$AO$24)</f>
        <v>19982.827700000002</v>
      </c>
      <c r="AP25" s="51">
        <f t="shared" si="31"/>
        <v>45231</v>
      </c>
      <c r="AQ25" s="51">
        <f t="shared" si="21"/>
        <v>45260</v>
      </c>
      <c r="AR25" s="52">
        <f t="shared" si="23"/>
        <v>30</v>
      </c>
      <c r="AS25" s="52">
        <f t="shared" si="24"/>
        <v>26</v>
      </c>
      <c r="AT25" s="52">
        <f t="shared" si="25"/>
        <v>4</v>
      </c>
      <c r="AU25" s="40">
        <f ca="1">IF(AT39-AU39&gt;=0,AT39-AU39,0)</f>
        <v>0</v>
      </c>
      <c r="AV25" s="40">
        <f ca="1">(AU25*AL75*-1)</f>
        <v>0</v>
      </c>
      <c r="AW25" s="40">
        <f>(10.7*H25)</f>
        <v>278.2</v>
      </c>
      <c r="AX25" s="40">
        <f ca="1">(AW25*AM89)</f>
        <v>187.06446199999999</v>
      </c>
      <c r="AY25" s="40">
        <f>COUNTIF($A$1,"2011-Öncesi-Römorkör Kaptanı-Nezaretçi")*(16.48*J25)
+COUNTIF($A$1,"2011-Öncesi-Baş Makinist-Nezaretçi")*(16.48*J25)
+COUNTIF($A$1,"2011-Öncesi-Liman Kaptanı-Nezaretçi")*(16.48*J25)
+COUNTIF($A$1,"2011-Öncesi-Gemici-Usta")*(8.1*J25)
+COUNTIF($A$1,"2011-Öncesi-Gemici-Uzman")*(8.1*J25)
+COUNTIF($A$1,"2011-Öncesi-Yağcı-Usta")*(8.1*J25)
+COUNTIF($A$1,"2011-Öncesi-Yağcı-Uzman")*(8.1*J25)
+COUNTIF($A$1,"2011-Öncesi-Elektrikçi-Nezaretçi")*(8.1*J25)
+COUNTIF($A$1,"2011-Sonrası-Liman Kaptanı-Nezaretçi")*(16.48*J25)
+COUNTIF($A$1,"2011-Sonrası-Gemici-Usta")*(8.1*J25)
+COUNTIF($A$1,"2011-Sonrası-Gemici-Uzman")*(8.1*J25)
+COUNTIF($A$1,"2012-Sonrası-Römorkör Kaptanı-Nezaretçi")*(16.48*J25)
+COUNTIF($A$1,"2012-Sonrası-Gemici-Usta")*(8.1*J25)
+COUNTIF($A$1,"2012-Sonrası-Gemici-Uzman")*(8.1*J25)
+COUNTIF($A$1,"2012-Sonrası-Yağcı-Usta")*(8.1*J25)
+COUNTIF($A$1,"2012-Sonrası-Yağcı-Uzman")*(8.1*J25)
+COUNTIF($A$1,"2013-Sonrası-Römorkör Kaptanı-Nezaretçi")*(16.48*J25)
+COUNTIF($A$1,"2013-Sonrası-Baş Makinist-Nezaretçi")*(16.48*J25)
+COUNTIF($A$1,"2013-Sonrası-Liman Kaptanı-Nezaretçi")*(16.48*J25)
+COUNTIF($A$1,"2013-Sonrası-Gemici-Usta")*(8.1*J25)
+COUNTIF($A$1,"2013-Sonrası-Gemici-Uzman")*(8.1*J25)
+COUNTIF($A$1,"2013-Sonrası-Yağcı-Usta")*(8.1*J25)
+COUNTIF($A$1,"2013-Sonrası-Yağcı-Uzman")*(8.1*J25)
+COUNTIF($A$1,"2013-Sonrası-Elektrikçi-Nezaretçi")*(8.1*J25)
+COUNTIF($A$1,"2015-Sonrası-Liman Kaptanı-Nezaretçi")*(16.48*J25)
+COUNTIF($A$1,"2015-Sonrası-Elektrikçi-Nezaretçi")*(8.1*J25)</f>
        <v>0</v>
      </c>
      <c r="AZ25" s="40">
        <f ca="1">(AY25*AM89)</f>
        <v>0</v>
      </c>
      <c r="BA25" s="40">
        <f>($AO$15*L25)</f>
        <v>0</v>
      </c>
      <c r="BB25" s="40">
        <f ca="1">(BA25+(BA25*0.00759*-1)+((BA25-BC25)*0.14*-1)+((BA25-BC25)*0.01*-1)+(BA25+((BA25-BC25)*0.14*-1)+((BA25-BC25)*0.01*-1))*AL75*-1)</f>
        <v>0</v>
      </c>
      <c r="BC25" s="40">
        <f>($AO$3*L25)</f>
        <v>0</v>
      </c>
      <c r="BD25" s="40">
        <f>($AO$6*L25)</f>
        <v>0</v>
      </c>
      <c r="BE25" s="36" t="s">
        <v>11</v>
      </c>
      <c r="BF25" s="40">
        <f>COUNTIF(BE25,"Var")*(AP11*0.84*-1)</f>
        <v>-307.87679999999995</v>
      </c>
      <c r="BG25" s="40">
        <f t="shared" si="26"/>
        <v>307.87679999999995</v>
      </c>
      <c r="BH25" s="40">
        <f>($AO$8)</f>
        <v>10008</v>
      </c>
      <c r="BI25" s="40">
        <f>($AO$8)</f>
        <v>10008</v>
      </c>
      <c r="BJ25" s="40">
        <f t="shared" si="27"/>
        <v>0</v>
      </c>
      <c r="BK25" s="40">
        <f t="shared" si="28"/>
        <v>0</v>
      </c>
      <c r="BL25" s="40">
        <f t="shared" si="29"/>
        <v>10008</v>
      </c>
      <c r="BM25" s="53">
        <f>IF(BO40=0,BN40,(VLOOKUP($BN40,$BJ$1:$BM$5,2,0)-BM39)/BL40*BN39+(BM40-VLOOKUP($BN40,$BJ$1:$BM$5,2,0))/BL40*BN40)</f>
        <v>0.2</v>
      </c>
      <c r="BN25" s="40">
        <f>(ROUND(BL40*BM25,2))</f>
        <v>1701.36</v>
      </c>
      <c r="BO25" s="53">
        <f t="shared" si="30"/>
        <v>0.80240999999999996</v>
      </c>
      <c r="BP25" s="40">
        <f>BH25</f>
        <v>10008</v>
      </c>
      <c r="BQ25" s="40">
        <f>BH25+BK25+BI39+BJ39</f>
        <v>8506.7999999999993</v>
      </c>
    </row>
    <row r="26" spans="1:69" ht="39.950000000000003" customHeight="1" x14ac:dyDescent="0.25">
      <c r="A26" s="19">
        <f ca="1">(AL76)</f>
        <v>0.2</v>
      </c>
      <c r="B26" s="20" t="s">
        <v>23</v>
      </c>
      <c r="C26" s="69">
        <v>0</v>
      </c>
      <c r="D26" s="70">
        <v>0</v>
      </c>
      <c r="E26" s="70">
        <v>0</v>
      </c>
      <c r="F26" s="70">
        <v>0</v>
      </c>
      <c r="G26" s="69">
        <v>26</v>
      </c>
      <c r="H26" s="69">
        <v>26</v>
      </c>
      <c r="I26" s="69">
        <v>0</v>
      </c>
      <c r="J26" s="69">
        <v>0</v>
      </c>
      <c r="K26" s="71" t="s">
        <v>1</v>
      </c>
      <c r="L26" s="69">
        <v>0</v>
      </c>
      <c r="M26" s="69">
        <v>0</v>
      </c>
      <c r="N26" s="69">
        <v>0</v>
      </c>
      <c r="O26" s="69">
        <v>0</v>
      </c>
      <c r="P26" s="72" t="s">
        <v>1</v>
      </c>
      <c r="Q26" s="73">
        <v>0</v>
      </c>
      <c r="R26" s="21">
        <f ca="1">(BL55+BF26+BD40+AL45+AI59+AJ59+AJ90-S26)</f>
        <v>9974.3835527072551</v>
      </c>
      <c r="S26" s="21">
        <f ca="1">(AN59+AP59+AS40+AO73+BE40)</f>
        <v>2080</v>
      </c>
      <c r="T26" s="22">
        <f t="shared" ca="1" si="22"/>
        <v>12054.383552707255</v>
      </c>
      <c r="U26" s="74"/>
      <c r="V26" s="7"/>
      <c r="W26" s="75"/>
      <c r="X26" s="15"/>
      <c r="Y26" s="16"/>
      <c r="Z26" s="17"/>
      <c r="AA26" s="66"/>
      <c r="AB26" s="34" t="s">
        <v>0</v>
      </c>
      <c r="AC26" s="55" t="s">
        <v>26</v>
      </c>
      <c r="AD26" s="57" t="s">
        <v>48</v>
      </c>
      <c r="AE26" s="39">
        <v>24</v>
      </c>
      <c r="AF26" s="44">
        <v>12</v>
      </c>
      <c r="AG26" s="45">
        <v>0.26</v>
      </c>
      <c r="AH26" s="34" t="s">
        <v>101</v>
      </c>
      <c r="AI26" s="35">
        <v>348.77</v>
      </c>
      <c r="AJ26" s="35">
        <v>348.77</v>
      </c>
      <c r="AP26" s="51">
        <f t="shared" si="31"/>
        <v>45261</v>
      </c>
      <c r="AQ26" s="51">
        <f t="shared" si="21"/>
        <v>45291</v>
      </c>
      <c r="AR26" s="52">
        <f t="shared" si="23"/>
        <v>31</v>
      </c>
      <c r="AS26" s="52">
        <f t="shared" si="24"/>
        <v>26</v>
      </c>
      <c r="AT26" s="52">
        <f t="shared" si="25"/>
        <v>5</v>
      </c>
      <c r="AU26" s="40">
        <f ca="1">IF(AT40-AU40&gt;=0,AT40-AU40,0)</f>
        <v>0</v>
      </c>
      <c r="AV26" s="40">
        <f ca="1">(AU26*AL76*-1)</f>
        <v>0</v>
      </c>
      <c r="AW26" s="40">
        <f>(10.7*H26)</f>
        <v>278.2</v>
      </c>
      <c r="AX26" s="40">
        <f ca="1">(AW26*AM90)</f>
        <v>187.06446199999999</v>
      </c>
      <c r="AY26" s="40">
        <f>COUNTIF($A$1,"2011-Öncesi-Römorkör Kaptanı-Nezaretçi")*(16.48*J26)
+COUNTIF($A$1,"2011-Öncesi-Baş Makinist-Nezaretçi")*(16.48*J26)
+COUNTIF($A$1,"2011-Öncesi-Liman Kaptanı-Nezaretçi")*(16.48*J26)
+COUNTIF($A$1,"2011-Öncesi-Gemici-Usta")*(8.1*J26)
+COUNTIF($A$1,"2011-Öncesi-Gemici-Uzman")*(8.1*J26)
+COUNTIF($A$1,"2011-Öncesi-Yağcı-Usta")*(8.1*J26)
+COUNTIF($A$1,"2011-Öncesi-Yağcı-Uzman")*(8.1*J26)
+COUNTIF($A$1,"2011-Öncesi-Elektrikçi-Nezaretçi")*(8.1*J26)
+COUNTIF($A$1,"2011-Sonrası-Liman Kaptanı-Nezaretçi")*(16.48*J26)
+COUNTIF($A$1,"2011-Sonrası-Gemici-Usta")*(8.1*J26)
+COUNTIF($A$1,"2011-Sonrası-Gemici-Uzman")*(8.1*J26)
+COUNTIF($A$1,"2012-Sonrası-Römorkör Kaptanı-Nezaretçi")*(16.48*J26)
+COUNTIF($A$1,"2012-Sonrası-Gemici-Usta")*(8.1*J26)
+COUNTIF($A$1,"2012-Sonrası-Gemici-Uzman")*(8.1*J26)
+COUNTIF($A$1,"2012-Sonrası-Yağcı-Usta")*(8.1*J26)
+COUNTIF($A$1,"2012-Sonrası-Yağcı-Uzman")*(8.1*J26)
+COUNTIF($A$1,"2013-Sonrası-Römorkör Kaptanı-Nezaretçi")*(16.48*J26)
+COUNTIF($A$1,"2013-Sonrası-Baş Makinist-Nezaretçi")*(16.48*J26)
+COUNTIF($A$1,"2013-Sonrası-Liman Kaptanı-Nezaretçi")*(16.48*J26)
+COUNTIF($A$1,"2013-Sonrası-Gemici-Usta")*(8.1*J26)
+COUNTIF($A$1,"2013-Sonrası-Gemici-Uzman")*(8.1*J26)
+COUNTIF($A$1,"2013-Sonrası-Yağcı-Usta")*(8.1*J26)
+COUNTIF($A$1,"2013-Sonrası-Yağcı-Uzman")*(8.1*J26)
+COUNTIF($A$1,"2013-Sonrası-Elektrikçi-Nezaretçi")*(8.1*J26)
+COUNTIF($A$1,"2015-Sonrası-Liman Kaptanı-Nezaretçi")*(16.48*J26)
+COUNTIF($A$1,"2015-Sonrası-Elektrikçi-Nezaretçi")*(8.1*J26)</f>
        <v>0</v>
      </c>
      <c r="AZ26" s="40">
        <f ca="1">(AY26*AM90)</f>
        <v>0</v>
      </c>
      <c r="BA26" s="40">
        <f>($AO$15*L26)</f>
        <v>0</v>
      </c>
      <c r="BB26" s="40">
        <f ca="1">(BA26+(BA26*0.00759*-1)+((BA26-BC26)*0.14*-1)+((BA26-BC26)*0.01*-1)+(BA26+((BA26-BC26)*0.14*-1)+((BA26-BC26)*0.01*-1))*AL76*-1)</f>
        <v>0</v>
      </c>
      <c r="BC26" s="40">
        <f>($AO$3*L26)</f>
        <v>0</v>
      </c>
      <c r="BD26" s="40">
        <f>($AO$6*L26)</f>
        <v>0</v>
      </c>
      <c r="BE26" s="36" t="s">
        <v>11</v>
      </c>
      <c r="BF26" s="40">
        <f>COUNTIF(BE26,"Var")*(AP12*0.84*-1)</f>
        <v>-307.87679999999995</v>
      </c>
      <c r="BG26" s="40">
        <f t="shared" si="26"/>
        <v>307.87679999999995</v>
      </c>
      <c r="BH26" s="40">
        <f>($AO$8)</f>
        <v>10008</v>
      </c>
      <c r="BI26" s="40">
        <f>($AO$8)</f>
        <v>10008</v>
      </c>
      <c r="BJ26" s="40">
        <f t="shared" si="27"/>
        <v>0</v>
      </c>
      <c r="BK26" s="40">
        <f t="shared" si="28"/>
        <v>0</v>
      </c>
      <c r="BL26" s="40">
        <f t="shared" si="29"/>
        <v>10008</v>
      </c>
      <c r="BM26" s="53">
        <f>IF(BO41=0,BN41,(VLOOKUP($BN41,$BJ$1:$BM$5,2,0)-BM40)/BL41*BN40+(BM41-VLOOKUP($BN41,$BJ$1:$BM$5,2,0))/BL41*BN41)</f>
        <v>0.2</v>
      </c>
      <c r="BN26" s="40">
        <f>(ROUND(BL41*BM26,2))</f>
        <v>1701.36</v>
      </c>
      <c r="BO26" s="53">
        <f t="shared" si="30"/>
        <v>0.80240999999999996</v>
      </c>
      <c r="BP26" s="40">
        <f>BH26</f>
        <v>10008</v>
      </c>
      <c r="BQ26" s="40">
        <f>BH26+BK26+BI40+BJ40</f>
        <v>8506.7999999999993</v>
      </c>
    </row>
    <row r="27" spans="1:69" ht="39.950000000000003" customHeight="1" x14ac:dyDescent="0.25">
      <c r="A27" s="23" t="s">
        <v>50</v>
      </c>
      <c r="B27" s="23"/>
      <c r="C27" s="24" t="s">
        <v>0</v>
      </c>
      <c r="D27" s="25">
        <f>(D15+D16+D17+D18+D19+D20+D21+D22+D23+D24+D25+D26)</f>
        <v>0</v>
      </c>
      <c r="E27" s="25">
        <f>(E15+E16+E17+E18+E19+E20+E21+E22+E23+E24+E25+E26)</f>
        <v>0</v>
      </c>
      <c r="F27" s="25">
        <f>(F15+F16+F17+F18+F19+F20+F21+F22+F23+F24+F25+F26)</f>
        <v>0</v>
      </c>
      <c r="G27" s="26">
        <f>(G15+G16+G17+G18+G19+G20+G21+G22+G23+G24+G25+G26)</f>
        <v>312</v>
      </c>
      <c r="H27" s="26">
        <f>(H15+H16+H17+H18+H19+H20+H21+H22+H23+H24+H25+H26)</f>
        <v>312</v>
      </c>
      <c r="I27" s="26" t="s">
        <v>0</v>
      </c>
      <c r="J27" s="26">
        <f>(J15+J16+J17+J18+J19+J20+J21+J22+J23+J24+J25+J26)</f>
        <v>0</v>
      </c>
      <c r="K27" s="27" t="s">
        <v>0</v>
      </c>
      <c r="L27" s="24" t="s">
        <v>0</v>
      </c>
      <c r="M27" s="24" t="s">
        <v>0</v>
      </c>
      <c r="N27" s="24" t="s">
        <v>0</v>
      </c>
      <c r="O27" s="24" t="s">
        <v>0</v>
      </c>
      <c r="P27" s="24" t="s">
        <v>0</v>
      </c>
      <c r="Q27" s="11" t="s">
        <v>0</v>
      </c>
      <c r="R27" s="28">
        <f t="shared" ref="R27" ca="1" si="32">(R15+R16+R17+R18+R19+R20+R21+R22+R23+R24+R25+R26)</f>
        <v>132754.55863208705</v>
      </c>
      <c r="S27" s="28">
        <f t="shared" ref="S27" ca="1" si="33">(S15+S16+S17+S18+S19+S20+S21+S22+S23+S24+S25+S26)</f>
        <v>24960</v>
      </c>
      <c r="T27" s="29">
        <f t="shared" ref="T27" ca="1" si="34">(T15+T16+T17+T18+T19+T20+T21+T22+T23+T24+T25+T26)</f>
        <v>157714.55863208708</v>
      </c>
      <c r="U27" s="74"/>
      <c r="V27" s="7"/>
      <c r="W27" s="75"/>
      <c r="X27" s="15"/>
      <c r="Y27" s="16"/>
      <c r="Z27" s="17"/>
      <c r="AA27" s="66"/>
      <c r="AB27" s="34" t="s">
        <v>0</v>
      </c>
      <c r="AC27" s="55" t="s">
        <v>44</v>
      </c>
      <c r="AD27" s="35" t="s">
        <v>106</v>
      </c>
      <c r="AE27" s="39">
        <v>25</v>
      </c>
      <c r="AF27" s="44">
        <v>12.5</v>
      </c>
      <c r="AG27" s="45">
        <v>0.27</v>
      </c>
      <c r="AH27" s="48" t="s">
        <v>0</v>
      </c>
      <c r="AI27" s="48" t="s">
        <v>0</v>
      </c>
      <c r="AJ27" s="48" t="s">
        <v>0</v>
      </c>
      <c r="AL27" s="58">
        <v>0.43368400000000001</v>
      </c>
      <c r="AM27" s="58">
        <v>0.43368400000000001</v>
      </c>
      <c r="AN27" s="39" t="s">
        <v>0</v>
      </c>
      <c r="AO27" s="37" t="s">
        <v>0</v>
      </c>
      <c r="AP27" s="48" t="s">
        <v>0</v>
      </c>
      <c r="AQ27" s="48" t="s">
        <v>0</v>
      </c>
      <c r="AR27" s="41">
        <f>(AR15+AR16+AR17+AR18+AR19+AR20+AR21+AR22+AR23+AR24+AR25+AR26)</f>
        <v>365</v>
      </c>
      <c r="AS27" s="41">
        <f>(AS15+AS16+AS17+AS18+AS19+AS20+AS21+AS22+AS23+AS24+AS25+AS26)</f>
        <v>312</v>
      </c>
      <c r="AT27" s="41">
        <f>(AT15+AT16+AT17+AT18+AT19+AT20+AT21+AT22+AT23+AT24+AT25+AT26)</f>
        <v>53</v>
      </c>
      <c r="AU27" s="40">
        <f ca="1">(AU15+AU16+AU17+AU18+AU19+AU20+AU21+AU22+AU23+AU24+AU25+AU26)</f>
        <v>0</v>
      </c>
      <c r="AV27" s="40">
        <f ca="1">(AV15+AV16+AV17+AV18+AV19+AV20+AV21+AV22+AV23+AV24+AV25+AV26)</f>
        <v>0</v>
      </c>
      <c r="AW27" s="40">
        <f t="shared" ref="AW27:AX27" si="35">(AW15+AW16+AW17+AW18+AW19+AW20+AW21+AW22+AW23+AW24+AW25+AW26)</f>
        <v>3338.3999999999992</v>
      </c>
      <c r="AX27" s="40">
        <f t="shared" ca="1" si="35"/>
        <v>2304.7829550659189</v>
      </c>
      <c r="AY27" s="40">
        <f t="shared" ref="AY27:AZ27" si="36">(AY15+AY16+AY17+AY18+AY19+AY20+AY21+AY22+AY23+AY24+AY25+AY26)</f>
        <v>0</v>
      </c>
      <c r="AZ27" s="40">
        <f t="shared" ca="1" si="36"/>
        <v>0</v>
      </c>
      <c r="BA27" s="40">
        <f t="shared" ref="BA27:BD27" si="37">(BA15+BA16+BA17+BA18+BA19+BA20+BA21+BA22+BA23+BA24+BA25+BA26)</f>
        <v>0</v>
      </c>
      <c r="BB27" s="40">
        <f t="shared" ca="1" si="37"/>
        <v>0</v>
      </c>
      <c r="BC27" s="40">
        <f t="shared" si="37"/>
        <v>0</v>
      </c>
      <c r="BD27" s="40">
        <f t="shared" si="37"/>
        <v>0</v>
      </c>
      <c r="BE27" s="48" t="s">
        <v>0</v>
      </c>
      <c r="BF27" s="40">
        <f t="shared" ref="BF27:BG27" si="38">(BF15+BF16+BF17+BF18+BF19+BF20+BF21+BF22+BF23+BF24+BF25+BF26)</f>
        <v>-3694.5215999999996</v>
      </c>
      <c r="BG27" s="40">
        <f t="shared" si="38"/>
        <v>3694.5215999999996</v>
      </c>
      <c r="BH27" s="40">
        <f t="shared" ref="BH27" si="39">(BH15+BH16+BH17+BH18+BH19+BH20+BH21+BH22+BH23+BH24+BH25+BH26)</f>
        <v>120096</v>
      </c>
      <c r="BI27" s="40">
        <f t="shared" ref="BI27" si="40">(BI15+BI16+BI17+BI18+BI19+BI20+BI21+BI22+BI23+BI24+BI25+BI26)</f>
        <v>120096</v>
      </c>
      <c r="BJ27" s="40">
        <f t="shared" ref="BJ27" si="41">(BJ15+BJ16+BJ17+BJ18+BJ19+BJ20+BJ21+BJ22+BJ23+BJ24+BJ25+BJ26)</f>
        <v>0</v>
      </c>
      <c r="BK27" s="40">
        <f t="shared" ref="BK27:BL27" si="42">(BK15+BK16+BK17+BK18+BK19+BK20+BK21+BK22+BK23+BK24+BK25+BK26)</f>
        <v>0</v>
      </c>
      <c r="BL27" s="40">
        <f t="shared" si="42"/>
        <v>120096</v>
      </c>
      <c r="BM27" s="39" t="s">
        <v>0</v>
      </c>
      <c r="BN27" s="40">
        <f t="shared" ref="BN27" si="43">(BN15+BN16+BN17+BN18+BN19+BN20+BN21+BN22+BN23+BN24+BN25+BN26)</f>
        <v>16916.320000000003</v>
      </c>
      <c r="BO27" s="39" t="s">
        <v>0</v>
      </c>
      <c r="BP27" s="40">
        <f t="shared" ref="BP27" si="44">(BP15+BP16+BP17+BP18+BP19+BP20+BP21+BP22+BP23+BP24+BP25+BP26)</f>
        <v>120096</v>
      </c>
      <c r="BQ27" s="40">
        <f t="shared" ref="BQ27" si="45">(BQ15+BQ16+BQ17+BQ18+BQ19+BQ20+BQ21+BQ22+BQ23+BQ24+BQ25+BQ26)</f>
        <v>102081.60000000002</v>
      </c>
    </row>
    <row r="28" spans="1:69" ht="39.950000000000003" customHeight="1" x14ac:dyDescent="0.25">
      <c r="A28" s="23" t="s">
        <v>51</v>
      </c>
      <c r="B28" s="23"/>
      <c r="C28" s="24" t="s">
        <v>0</v>
      </c>
      <c r="D28" s="26" t="s">
        <v>0</v>
      </c>
      <c r="E28" s="24" t="s">
        <v>0</v>
      </c>
      <c r="F28" s="24" t="s">
        <v>0</v>
      </c>
      <c r="G28" s="24" t="s">
        <v>0</v>
      </c>
      <c r="H28" s="24" t="s">
        <v>0</v>
      </c>
      <c r="I28" s="24" t="s">
        <v>0</v>
      </c>
      <c r="J28" s="24" t="s">
        <v>0</v>
      </c>
      <c r="K28" s="27" t="s">
        <v>0</v>
      </c>
      <c r="L28" s="24" t="s">
        <v>0</v>
      </c>
      <c r="M28" s="24" t="s">
        <v>0</v>
      </c>
      <c r="N28" s="24" t="s">
        <v>0</v>
      </c>
      <c r="O28" s="24" t="s">
        <v>0</v>
      </c>
      <c r="P28" s="24" t="s">
        <v>0</v>
      </c>
      <c r="Q28" s="24" t="s">
        <v>0</v>
      </c>
      <c r="R28" s="28">
        <f ca="1">(R27/12)</f>
        <v>11062.879886007255</v>
      </c>
      <c r="S28" s="28">
        <f ca="1">(S27/12)</f>
        <v>2080</v>
      </c>
      <c r="T28" s="29">
        <f ca="1">(T27/12)</f>
        <v>13142.879886007257</v>
      </c>
      <c r="U28" s="74"/>
      <c r="V28" s="7"/>
      <c r="W28" s="75"/>
      <c r="X28" s="30"/>
      <c r="Y28" s="31"/>
      <c r="Z28" s="32"/>
      <c r="AA28" s="67"/>
      <c r="AB28" s="34" t="s">
        <v>0</v>
      </c>
      <c r="AC28" s="55" t="s">
        <v>30</v>
      </c>
      <c r="AD28" s="57" t="s">
        <v>107</v>
      </c>
      <c r="AE28" s="39">
        <v>26</v>
      </c>
      <c r="AF28" s="44">
        <v>13</v>
      </c>
      <c r="AG28" s="45">
        <v>0.28000000000000003</v>
      </c>
      <c r="AH28" s="48" t="s">
        <v>0</v>
      </c>
      <c r="AI28" s="34" t="s">
        <v>1</v>
      </c>
      <c r="AJ28" s="34" t="s">
        <v>67</v>
      </c>
      <c r="AK28" s="34" t="s">
        <v>67</v>
      </c>
      <c r="AL28" s="58">
        <v>6.787992</v>
      </c>
      <c r="AM28" s="58">
        <v>6.787992</v>
      </c>
      <c r="AN28" s="39" t="s">
        <v>0</v>
      </c>
      <c r="AO28" s="37" t="s">
        <v>0</v>
      </c>
      <c r="AP28" s="48" t="s">
        <v>0</v>
      </c>
      <c r="AQ28" s="48" t="s">
        <v>0</v>
      </c>
      <c r="AR28" s="48" t="s">
        <v>0</v>
      </c>
      <c r="AS28" s="48" t="s">
        <v>0</v>
      </c>
      <c r="AT28" s="48" t="s">
        <v>0</v>
      </c>
      <c r="AU28" s="40">
        <f ca="1">(AU27/12)</f>
        <v>0</v>
      </c>
      <c r="AV28" s="40">
        <f ca="1">(AV27/12)</f>
        <v>0</v>
      </c>
      <c r="AW28" s="40">
        <f t="shared" ref="AW28:AX28" si="46">(AW27/12)</f>
        <v>278.19999999999993</v>
      </c>
      <c r="AX28" s="40">
        <f t="shared" ca="1" si="46"/>
        <v>192.06524625549324</v>
      </c>
      <c r="AY28" s="40">
        <f t="shared" ref="AY28:AZ28" si="47">(AY27/12)</f>
        <v>0</v>
      </c>
      <c r="AZ28" s="40">
        <f t="shared" ca="1" si="47"/>
        <v>0</v>
      </c>
      <c r="BA28" s="40">
        <f t="shared" ref="BA28:BD28" si="48">(BA27/12)</f>
        <v>0</v>
      </c>
      <c r="BB28" s="40">
        <f t="shared" ca="1" si="48"/>
        <v>0</v>
      </c>
      <c r="BC28" s="40">
        <f t="shared" si="48"/>
        <v>0</v>
      </c>
      <c r="BD28" s="40">
        <f t="shared" si="48"/>
        <v>0</v>
      </c>
      <c r="BE28" s="48" t="s">
        <v>0</v>
      </c>
      <c r="BF28" s="40">
        <f t="shared" ref="BF28:BG28" si="49">(BF27/12)</f>
        <v>-307.87679999999995</v>
      </c>
      <c r="BG28" s="40">
        <f t="shared" si="49"/>
        <v>307.87679999999995</v>
      </c>
      <c r="BH28" s="40">
        <f t="shared" ref="BH28" si="50">(BH27/12)</f>
        <v>10008</v>
      </c>
      <c r="BI28" s="40">
        <f t="shared" ref="BI28" si="51">(BI27/12)</f>
        <v>10008</v>
      </c>
      <c r="BJ28" s="40">
        <f t="shared" ref="BJ28" si="52">(BJ27/12)</f>
        <v>0</v>
      </c>
      <c r="BK28" s="40">
        <f t="shared" ref="BK28:BL28" si="53">(BK27/12)</f>
        <v>0</v>
      </c>
      <c r="BL28" s="40">
        <f t="shared" si="53"/>
        <v>10008</v>
      </c>
      <c r="BM28" s="48" t="s">
        <v>0</v>
      </c>
      <c r="BN28" s="40">
        <f t="shared" ref="BN28" si="54">(BN27/12)</f>
        <v>1409.6933333333336</v>
      </c>
      <c r="BO28" s="48" t="s">
        <v>0</v>
      </c>
      <c r="BP28" s="40">
        <f t="shared" ref="BP28" si="55">(BP27/12)</f>
        <v>10008</v>
      </c>
      <c r="BQ28" s="40">
        <f t="shared" ref="BQ28" si="56">(BQ27/12)</f>
        <v>8506.8000000000011</v>
      </c>
    </row>
    <row r="29" spans="1:69" ht="39.950000000000003" hidden="1" customHeight="1" x14ac:dyDescent="0.25">
      <c r="AC29" s="55" t="s">
        <v>28</v>
      </c>
      <c r="AD29" s="56" t="s">
        <v>120</v>
      </c>
      <c r="AE29" s="39">
        <v>27</v>
      </c>
      <c r="AF29" s="44">
        <v>13.5</v>
      </c>
      <c r="AG29" s="45">
        <v>0.28999999999999998</v>
      </c>
      <c r="AI29" s="37" t="s">
        <v>59</v>
      </c>
      <c r="AJ29" s="40">
        <v>776.7</v>
      </c>
      <c r="AK29" s="40">
        <v>776.7</v>
      </c>
      <c r="AL29" s="58">
        <v>0.13753499999999999</v>
      </c>
      <c r="AM29" s="58">
        <v>0.13753499999999999</v>
      </c>
      <c r="AN29" s="39" t="s">
        <v>0</v>
      </c>
      <c r="AO29" s="37" t="s">
        <v>0</v>
      </c>
      <c r="AP29" s="40">
        <f>(7*C15)</f>
        <v>0</v>
      </c>
      <c r="AQ29" s="40">
        <f ca="1">(AP29*AM79)</f>
        <v>0</v>
      </c>
      <c r="AR29" s="40">
        <f>(1.54*F15)</f>
        <v>0</v>
      </c>
      <c r="AS29" s="40">
        <f ca="1">(AR29*AM79)</f>
        <v>0</v>
      </c>
      <c r="AT29" s="40">
        <f ca="1">(AP62+AT43+AU43)</f>
        <v>2080.0025000000001</v>
      </c>
      <c r="AU29" s="40">
        <f ca="1">IF($AN$12*AP62&gt;=AQ62,AQ62,$AN$12*AP62)</f>
        <v>2085.0475188320647</v>
      </c>
      <c r="AV29" s="40">
        <f>COUNTIF(K15,"Var")*($AN$14)</f>
        <v>0</v>
      </c>
      <c r="AW29" s="40">
        <f ca="1">COUNTIF(K15,"Var")*((AV29+(AV29*0.00759*-1)+((AV29-AX29)*0.14*-1)+((AV29-AX29)*0.01*-1)+(AV29+((AV29-AX29)*0.14*-1)+((AV29-AX29)*0.01*-1))*AL65*-1))</f>
        <v>0</v>
      </c>
      <c r="AX29" s="40">
        <f>COUNTIF(K15,"Var")*($AN$2)</f>
        <v>0</v>
      </c>
      <c r="AY29" s="40">
        <f>(0)</f>
        <v>0</v>
      </c>
      <c r="AZ29" s="40">
        <f>($AN$17*N15)</f>
        <v>0</v>
      </c>
      <c r="BA29" s="40">
        <f ca="1">(AZ29+(AZ29*0.00759*-1)+((AZ29-BB29)*0.14*-1)+((AZ29-BB29)*0.01*-1)+(AZ29+((AZ29-BB29)*0.14*-1)+((AZ29-BB29)*0.01*-1))*AL65*-1)</f>
        <v>0</v>
      </c>
      <c r="BB29" s="40">
        <f>($AN$3*N15)</f>
        <v>0</v>
      </c>
      <c r="BC29" s="40">
        <f>($AN$6*N15)</f>
        <v>0</v>
      </c>
      <c r="BD29" s="42">
        <f ca="1">(AH48*Q15+BE29)*-1</f>
        <v>0</v>
      </c>
      <c r="BE29" s="42">
        <f ca="1">(AM48+AO48+AR29+AN62-AQ43)*(Q15*-1)</f>
        <v>0</v>
      </c>
      <c r="BF29" s="42">
        <f ca="1">(BD29+BE29)</f>
        <v>0</v>
      </c>
      <c r="BG29" s="40">
        <f>(0)</f>
        <v>0</v>
      </c>
      <c r="BH29" s="40">
        <f>(BL15-BG29)</f>
        <v>10008</v>
      </c>
      <c r="BI29" s="40">
        <f>(BH29*0.14*-1)</f>
        <v>-1401.1200000000001</v>
      </c>
      <c r="BJ29" s="40">
        <f>(BH29*0.01*-1)</f>
        <v>-100.08</v>
      </c>
      <c r="BM29" s="40">
        <f>(0)</f>
        <v>0</v>
      </c>
      <c r="BN29" s="59">
        <f>(0%)</f>
        <v>0</v>
      </c>
      <c r="BP29" s="40">
        <f ca="1">(AR43+AX29+BC43+BC43+BH1)</f>
        <v>2051.4</v>
      </c>
    </row>
    <row r="30" spans="1:69" ht="39.950000000000003" hidden="1" customHeight="1" x14ac:dyDescent="0.25">
      <c r="AC30" s="55" t="s">
        <v>29</v>
      </c>
      <c r="AD30" s="56" t="s">
        <v>121</v>
      </c>
      <c r="AE30" s="39">
        <v>28</v>
      </c>
      <c r="AF30" s="44">
        <v>14</v>
      </c>
      <c r="AG30" s="45">
        <v>0.3</v>
      </c>
      <c r="AI30" s="37" t="s">
        <v>60</v>
      </c>
      <c r="AJ30" s="40">
        <v>2070.65</v>
      </c>
      <c r="AK30" s="40">
        <v>2070.65</v>
      </c>
      <c r="AP30" s="40">
        <f>(7*C16)</f>
        <v>0</v>
      </c>
      <c r="AQ30" s="40">
        <f ca="1">(AP30*AM80)</f>
        <v>0</v>
      </c>
      <c r="AR30" s="40">
        <f>(1.54*F16)</f>
        <v>0</v>
      </c>
      <c r="AS30" s="40">
        <f ca="1">(AR30*AM80)</f>
        <v>0</v>
      </c>
      <c r="AT30" s="40">
        <f ca="1">(AP63+AT44+AU44)</f>
        <v>2080.0025000000001</v>
      </c>
      <c r="AU30" s="40">
        <f ca="1">IF($AN$12*AP63&gt;=AQ63,AQ63,$AN$12*AP63)</f>
        <v>2085.0475188320647</v>
      </c>
      <c r="AV30" s="40">
        <f>COUNTIF(K16,"Var")*($AN$14)</f>
        <v>0</v>
      </c>
      <c r="AW30" s="40">
        <f ca="1">COUNTIF(K16,"Var")*((AV30+(AV30*0.00759*-1)+((AV30-AX30)*0.14*-1)+((AV30-AX30)*0.01*-1)+(AV30+((AV30-AX30)*0.14*-1)+((AV30-AX30)*0.01*-1))*AL66*-1))</f>
        <v>0</v>
      </c>
      <c r="AX30" s="40">
        <f>COUNTIF(K16,"Var")*($AN$2)</f>
        <v>0</v>
      </c>
      <c r="AY30" s="40">
        <f>(0)</f>
        <v>0</v>
      </c>
      <c r="AZ30" s="40">
        <f>($AN$17*N16)</f>
        <v>0</v>
      </c>
      <c r="BA30" s="40">
        <f ca="1">(AZ30+(AZ30*0.00759*-1)+((AZ30-BB30)*0.14*-1)+((AZ30-BB30)*0.01*-1)+(AZ30+((AZ30-BB30)*0.14*-1)+((AZ30-BB30)*0.01*-1))*AL66*-1)</f>
        <v>0</v>
      </c>
      <c r="BB30" s="40">
        <f>($AN$3*N16)</f>
        <v>0</v>
      </c>
      <c r="BC30" s="40">
        <f>($AN$6*N16)</f>
        <v>0</v>
      </c>
      <c r="BD30" s="42">
        <f ca="1">(AH49*Q16+BE30)*-1</f>
        <v>0</v>
      </c>
      <c r="BE30" s="42">
        <f ca="1">(AM49+AO49+AR30+AN63-AQ44)*(Q16*-1)</f>
        <v>0</v>
      </c>
      <c r="BF30" s="42">
        <f t="shared" ref="BF30:BF40" ca="1" si="57">(BD30+BE30)</f>
        <v>0</v>
      </c>
      <c r="BG30" s="40">
        <f>(0)</f>
        <v>0</v>
      </c>
      <c r="BH30" s="40">
        <f>(BL16-BG30)</f>
        <v>10008</v>
      </c>
      <c r="BI30" s="40">
        <f t="shared" ref="BI30:BI40" si="58">(BH30*0.14*-1)</f>
        <v>-1401.1200000000001</v>
      </c>
      <c r="BJ30" s="40">
        <f t="shared" ref="BJ30:BJ40" si="59">(BH30*0.01*-1)</f>
        <v>-100.08</v>
      </c>
      <c r="BK30" s="40">
        <f>(0)</f>
        <v>0</v>
      </c>
      <c r="BL30" s="40">
        <f>(BH15+BI29+BJ29-BK30)</f>
        <v>8506.7999999999993</v>
      </c>
      <c r="BM30" s="40">
        <f>SUM(BL$30:$BL30)</f>
        <v>8506.7999999999993</v>
      </c>
      <c r="BN30" s="59">
        <f>IF(BM30&lt;=$BL$1,$BJ$1,
IF(BM30&gt;$BL$3,
IF(BM30&gt;$BL$4,$BJ$5,$BJ$4),
IF(BM30&lt;$BL$2,$BJ$2,$BJ$3)))</f>
        <v>0.15</v>
      </c>
      <c r="BO30" s="36">
        <f>IF(BN30-BN29=0,0,1)</f>
        <v>1</v>
      </c>
      <c r="BP30" s="40">
        <f ca="1">(AR44+AX30+BC44+BC44+BH2)</f>
        <v>2051.4</v>
      </c>
    </row>
    <row r="31" spans="1:69" ht="39.950000000000003" hidden="1" customHeight="1" x14ac:dyDescent="0.25">
      <c r="AC31" s="55" t="s">
        <v>45</v>
      </c>
      <c r="AD31" s="57" t="s">
        <v>108</v>
      </c>
      <c r="AE31" s="39">
        <v>29</v>
      </c>
      <c r="AF31" s="44">
        <v>14.5</v>
      </c>
      <c r="AG31" s="45">
        <v>0.31</v>
      </c>
      <c r="AI31" s="37" t="s">
        <v>61</v>
      </c>
      <c r="AJ31" s="40">
        <v>1294.27</v>
      </c>
      <c r="AK31" s="40">
        <v>1294.27</v>
      </c>
      <c r="AL31" s="48">
        <f>($AL$32*2)</f>
        <v>19000</v>
      </c>
      <c r="AM31" s="39" t="s">
        <v>0</v>
      </c>
      <c r="AN31" s="40">
        <f>($AL$27*$AL$31)</f>
        <v>8239.996000000001</v>
      </c>
      <c r="AO31" s="40">
        <f>($AM$27*$AL$31)</f>
        <v>8239.996000000001</v>
      </c>
      <c r="AP31" s="40">
        <f>(7*C17)</f>
        <v>0</v>
      </c>
      <c r="AQ31" s="40">
        <f ca="1">(AP31*AM81)</f>
        <v>0</v>
      </c>
      <c r="AR31" s="40">
        <f>(1.54*F17)</f>
        <v>0</v>
      </c>
      <c r="AS31" s="40">
        <f ca="1">(AR31*AM81)</f>
        <v>0</v>
      </c>
      <c r="AT31" s="40">
        <f ca="1">(AP64+AT45+AU45)</f>
        <v>2080.0025000000001</v>
      </c>
      <c r="AU31" s="40">
        <f ca="1">IF($AN$12*AP64&gt;=AQ64,AQ64,$AN$12*AP64)</f>
        <v>2085.0475188320647</v>
      </c>
      <c r="AV31" s="40">
        <f>COUNTIF(K17,"Var")*($AN$14)</f>
        <v>0</v>
      </c>
      <c r="AW31" s="40">
        <f ca="1">COUNTIF(K17,"Var")*((AV31+(AV31*0.00759*-1)+((AV31-AX31)*0.14*-1)+((AV31-AX31)*0.01*-1)+(AV31+((AV31-AX31)*0.14*-1)+((AV31-AX31)*0.01*-1))*AL67*-1))</f>
        <v>0</v>
      </c>
      <c r="AX31" s="40">
        <f>COUNTIF(K17,"Var")*($AN$2)</f>
        <v>0</v>
      </c>
      <c r="AY31" s="40">
        <f>(0)</f>
        <v>0</v>
      </c>
      <c r="AZ31" s="40">
        <f>($AN$17*N17)</f>
        <v>0</v>
      </c>
      <c r="BA31" s="40">
        <f ca="1">(AZ31+(AZ31*0.00759*-1)+((AZ31-BB31)*0.14*-1)+((AZ31-BB31)*0.01*-1)+(AZ31+((AZ31-BB31)*0.14*-1)+((AZ31-BB31)*0.01*-1))*AL67*-1)</f>
        <v>0</v>
      </c>
      <c r="BB31" s="40">
        <f>($AN$3*N17)</f>
        <v>0</v>
      </c>
      <c r="BC31" s="40">
        <f>($AN$6*N17)</f>
        <v>0</v>
      </c>
      <c r="BD31" s="42">
        <f ca="1">(AH50*Q17+BE31)*-1</f>
        <v>0</v>
      </c>
      <c r="BE31" s="42">
        <f ca="1">(AM50+AO50+AR31+AN64-AQ45)*(Q17*-1)</f>
        <v>0</v>
      </c>
      <c r="BF31" s="42">
        <f t="shared" ca="1" si="57"/>
        <v>0</v>
      </c>
      <c r="BG31" s="40">
        <f>(0)</f>
        <v>0</v>
      </c>
      <c r="BH31" s="40">
        <f>(BL17-BG31)</f>
        <v>10008</v>
      </c>
      <c r="BI31" s="40">
        <f t="shared" si="58"/>
        <v>-1401.1200000000001</v>
      </c>
      <c r="BJ31" s="40">
        <f t="shared" si="59"/>
        <v>-100.08</v>
      </c>
      <c r="BK31" s="40">
        <f>(0)</f>
        <v>0</v>
      </c>
      <c r="BL31" s="40">
        <f>(BH16+BI30+BJ30-BK31)</f>
        <v>8506.7999999999993</v>
      </c>
      <c r="BM31" s="40">
        <f>SUM(BL$30:$BL31)</f>
        <v>17013.599999999999</v>
      </c>
      <c r="BN31" s="59">
        <f>IF(BM31&lt;=$BL$1,$BJ$1,
IF(BM31&gt;$BL$3,
IF(BM31&gt;$BL$4,$BJ$5,$BJ$4),
IF(BM31&lt;$BL$2,$BJ$2,$BJ$3)))</f>
        <v>0.15</v>
      </c>
      <c r="BO31" s="36">
        <f t="shared" ref="BO31:BO41" si="60">IF(BN31-BN30=0,0,1)</f>
        <v>0</v>
      </c>
      <c r="BP31" s="40">
        <f ca="1">(AR45+AX31+BC45+BC45+BH3)</f>
        <v>2051.4</v>
      </c>
    </row>
    <row r="32" spans="1:69" ht="39.950000000000003" hidden="1" customHeight="1" x14ac:dyDescent="0.25">
      <c r="AC32" s="55" t="s">
        <v>40</v>
      </c>
      <c r="AD32" s="56" t="s">
        <v>122</v>
      </c>
      <c r="AE32" s="39">
        <v>30</v>
      </c>
      <c r="AF32" s="44">
        <v>15</v>
      </c>
      <c r="AG32" s="45">
        <v>0.32</v>
      </c>
      <c r="AI32" s="37" t="s">
        <v>68</v>
      </c>
      <c r="AJ32" s="40">
        <v>259.02999999999997</v>
      </c>
      <c r="AK32" s="40">
        <v>259.02999999999997</v>
      </c>
      <c r="AL32" s="48">
        <f>(9500)</f>
        <v>9500</v>
      </c>
      <c r="AM32" s="39" t="s">
        <v>0</v>
      </c>
      <c r="AN32" s="40">
        <f>($AL$27*$AL$32)</f>
        <v>4119.9980000000005</v>
      </c>
      <c r="AO32" s="40">
        <f>($AM$27*$AL$32)</f>
        <v>4119.9980000000005</v>
      </c>
      <c r="AP32" s="40">
        <f>(7*C18)</f>
        <v>0</v>
      </c>
      <c r="AQ32" s="40">
        <f ca="1">(AP32*AM82)</f>
        <v>0</v>
      </c>
      <c r="AR32" s="40">
        <f>(1.54*F18)</f>
        <v>0</v>
      </c>
      <c r="AS32" s="40">
        <f ca="1">(AR32*AM82)</f>
        <v>0</v>
      </c>
      <c r="AT32" s="40">
        <f ca="1">(AP65+AT46+AU46)</f>
        <v>2080.0025000000001</v>
      </c>
      <c r="AU32" s="40">
        <f ca="1">IF($AN$12*AP65&gt;=AQ65,AQ65,$AN$12*AP65)</f>
        <v>2085.0475188320647</v>
      </c>
      <c r="AV32" s="40">
        <f>COUNTIF(K18,"Var")*($AN$14)</f>
        <v>0</v>
      </c>
      <c r="AW32" s="40">
        <f ca="1">COUNTIF(K18,"Var")*((AV32+(AV32*0.00759*-1)+((AV32-AX32)*0.14*-1)+((AV32-AX32)*0.01*-1)+(AV32+((AV32-AX32)*0.14*-1)+((AV32-AX32)*0.01*-1))*AL68*-1))</f>
        <v>0</v>
      </c>
      <c r="AX32" s="40">
        <f>COUNTIF(K18,"Var")*($AN$2)</f>
        <v>0</v>
      </c>
      <c r="AY32" s="40">
        <f>(0)</f>
        <v>0</v>
      </c>
      <c r="AZ32" s="40">
        <f>($AN$17*N18)</f>
        <v>0</v>
      </c>
      <c r="BA32" s="40">
        <f ca="1">(AZ32+(AZ32*0.00759*-1)+((AZ32-BB32)*0.14*-1)+((AZ32-BB32)*0.01*-1)+(AZ32+((AZ32-BB32)*0.14*-1)+((AZ32-BB32)*0.01*-1))*AL68*-1)</f>
        <v>0</v>
      </c>
      <c r="BB32" s="40">
        <f>($AN$3*N18)</f>
        <v>0</v>
      </c>
      <c r="BC32" s="40">
        <f>($AN$6*N18)</f>
        <v>0</v>
      </c>
      <c r="BD32" s="42">
        <f ca="1">(AH51*Q18+BE32)*-1</f>
        <v>0</v>
      </c>
      <c r="BE32" s="42">
        <f ca="1">(AM51+AO51+AR32+AN65-AQ46)*(Q18*-1)</f>
        <v>0</v>
      </c>
      <c r="BF32" s="42">
        <f t="shared" ca="1" si="57"/>
        <v>0</v>
      </c>
      <c r="BG32" s="40">
        <f>(0)</f>
        <v>0</v>
      </c>
      <c r="BH32" s="40">
        <f>(BL18-BG32)</f>
        <v>10008</v>
      </c>
      <c r="BI32" s="40">
        <f t="shared" si="58"/>
        <v>-1401.1200000000001</v>
      </c>
      <c r="BJ32" s="40">
        <f t="shared" si="59"/>
        <v>-100.08</v>
      </c>
      <c r="BK32" s="40">
        <f>(0)</f>
        <v>0</v>
      </c>
      <c r="BL32" s="40">
        <f>(BH17+BI31+BJ31-BK32)</f>
        <v>8506.7999999999993</v>
      </c>
      <c r="BM32" s="40">
        <f>SUM(BL$30:$BL32)</f>
        <v>25520.399999999998</v>
      </c>
      <c r="BN32" s="59">
        <f>IF(BM32&lt;=$BL$1,$BJ$1,
IF(BM32&gt;$BL$3,
IF(BM32&gt;$BL$4,$BJ$5,$BJ$4),
IF(BM32&lt;$BL$2,$BJ$2,$BJ$3)))</f>
        <v>0.15</v>
      </c>
      <c r="BO32" s="36">
        <f t="shared" si="60"/>
        <v>0</v>
      </c>
      <c r="BP32" s="40">
        <f ca="1">(AR46+AX32+BC46+BC46+BH4)</f>
        <v>2051.4</v>
      </c>
    </row>
    <row r="33" spans="29:68" ht="39.950000000000003" hidden="1" customHeight="1" x14ac:dyDescent="0.25">
      <c r="AC33" s="55" t="s">
        <v>46</v>
      </c>
      <c r="AD33" s="57" t="s">
        <v>109</v>
      </c>
      <c r="AE33" s="39">
        <v>31</v>
      </c>
      <c r="AF33" s="44">
        <v>15.5</v>
      </c>
      <c r="AG33" s="45">
        <v>0.33</v>
      </c>
      <c r="AI33" s="37" t="s">
        <v>9</v>
      </c>
      <c r="AJ33" s="40">
        <v>517.76</v>
      </c>
      <c r="AK33" s="40">
        <v>517.76</v>
      </c>
      <c r="AP33" s="40">
        <f>(7*C19)</f>
        <v>0</v>
      </c>
      <c r="AQ33" s="40">
        <f ca="1">(AP33*AM83)</f>
        <v>0</v>
      </c>
      <c r="AR33" s="40">
        <f>(1.54*F19)</f>
        <v>0</v>
      </c>
      <c r="AS33" s="40">
        <f ca="1">(AR33*AM83)</f>
        <v>0</v>
      </c>
      <c r="AT33" s="40">
        <f ca="1">(AP66+AT47+AU47)</f>
        <v>2080.0025000000001</v>
      </c>
      <c r="AU33" s="40">
        <f ca="1">IF($AN$12*AP66&gt;=AQ66,AQ66,$AN$12*AP66)</f>
        <v>2085.0475188320647</v>
      </c>
      <c r="AV33" s="40">
        <f>COUNTIF(K19,"Var")*($AN$14)</f>
        <v>0</v>
      </c>
      <c r="AW33" s="40">
        <f ca="1">COUNTIF(K19,"Var")*((AV33+(AV33*0.00759*-1)+((AV33-AX33)*0.14*-1)+((AV33-AX33)*0.01*-1)+(AV33+((AV33-AX33)*0.14*-1)+((AV33-AX33)*0.01*-1))*AL69*-1))</f>
        <v>0</v>
      </c>
      <c r="AX33" s="40">
        <f>COUNTIF(K19,"Var")*($AN$2)</f>
        <v>0</v>
      </c>
      <c r="AY33" s="40">
        <f>(0)</f>
        <v>0</v>
      </c>
      <c r="AZ33" s="40">
        <f>($AN$17*N19)</f>
        <v>0</v>
      </c>
      <c r="BA33" s="40">
        <f ca="1">(AZ33+(AZ33*0.00759*-1)+((AZ33-BB33)*0.14*-1)+((AZ33-BB33)*0.01*-1)+(AZ33+((AZ33-BB33)*0.14*-1)+((AZ33-BB33)*0.01*-1))*AL69*-1)</f>
        <v>0</v>
      </c>
      <c r="BB33" s="40">
        <f>($AN$3*N19)</f>
        <v>0</v>
      </c>
      <c r="BC33" s="40">
        <f>($AN$6*N19)</f>
        <v>0</v>
      </c>
      <c r="BD33" s="42">
        <f ca="1">(AH52*Q19+BE33)*-1</f>
        <v>0</v>
      </c>
      <c r="BE33" s="42">
        <f ca="1">(AM52+AO52+AR33+AN66-AQ47)*(Q19*-1)</f>
        <v>0</v>
      </c>
      <c r="BF33" s="42">
        <f t="shared" ca="1" si="57"/>
        <v>0</v>
      </c>
      <c r="BG33" s="40">
        <f>(0)</f>
        <v>0</v>
      </c>
      <c r="BH33" s="40">
        <f>(BL19-BG33)</f>
        <v>10008</v>
      </c>
      <c r="BI33" s="40">
        <f t="shared" si="58"/>
        <v>-1401.1200000000001</v>
      </c>
      <c r="BJ33" s="40">
        <f t="shared" si="59"/>
        <v>-100.08</v>
      </c>
      <c r="BK33" s="40">
        <f>(0)</f>
        <v>0</v>
      </c>
      <c r="BL33" s="40">
        <f>(BH18+BI32+BJ32-BK33)</f>
        <v>8506.7999999999993</v>
      </c>
      <c r="BM33" s="40">
        <f>SUM(BL$30:$BL33)</f>
        <v>34027.199999999997</v>
      </c>
      <c r="BN33" s="59">
        <f>IF(BM33&lt;=$BL$1,$BJ$1,
IF(BM33&gt;$BL$3,
IF(BM33&gt;$BL$4,$BJ$5,$BJ$4),
IF(BM33&lt;$BL$2,$BJ$2,$BJ$3)))</f>
        <v>0.15</v>
      </c>
      <c r="BO33" s="36">
        <f t="shared" si="60"/>
        <v>0</v>
      </c>
      <c r="BP33" s="40">
        <f ca="1">(AR47+AX33+BC47+BC47+BH5)</f>
        <v>2051.4</v>
      </c>
    </row>
    <row r="34" spans="29:68" ht="39.950000000000003" hidden="1" customHeight="1" x14ac:dyDescent="0.25">
      <c r="AC34" s="55" t="s">
        <v>110</v>
      </c>
      <c r="AD34" s="57" t="s">
        <v>111</v>
      </c>
      <c r="AE34" s="39">
        <v>32</v>
      </c>
      <c r="AF34" s="44">
        <v>16</v>
      </c>
      <c r="AG34" s="45">
        <v>0.34</v>
      </c>
      <c r="AH34" s="40">
        <f ca="1">(AQ62)</f>
        <v>2085.0475188320647</v>
      </c>
      <c r="AI34" s="40">
        <f ca="1">(AH34*0.00759*-1)</f>
        <v>-15.825510667935372</v>
      </c>
      <c r="AJ34" s="40">
        <f ca="1">(BL44-BN44-AH34)</f>
        <v>13542.969999999996</v>
      </c>
      <c r="AK34" s="40">
        <f ca="1">(AJ34*0.00759*-1)</f>
        <v>-102.79114229999998</v>
      </c>
      <c r="AL34" s="40">
        <f ca="1">(AK34)</f>
        <v>-102.79114229999998</v>
      </c>
      <c r="AM34" s="40">
        <f ca="1">(BL44)</f>
        <v>25636.017518832061</v>
      </c>
      <c r="AN34" s="60">
        <f>(AT1*AR15)</f>
        <v>11362.119999999999</v>
      </c>
      <c r="AO34" s="40">
        <f ca="1">(AN34*AM79)</f>
        <v>8122.8932091999995</v>
      </c>
      <c r="AP34" s="40">
        <f>(7*C20)</f>
        <v>0</v>
      </c>
      <c r="AQ34" s="40">
        <f ca="1">(AP34*AM84)</f>
        <v>0</v>
      </c>
      <c r="AR34" s="40">
        <f>(1.54*F20)</f>
        <v>0</v>
      </c>
      <c r="AS34" s="40">
        <f ca="1">(AR34*AM84)</f>
        <v>0</v>
      </c>
      <c r="AT34" s="40">
        <f ca="1">(AP67+AT48+AU48)</f>
        <v>2080.0025000000001</v>
      </c>
      <c r="AU34" s="40">
        <f ca="1">IF($AN$12*AP67&gt;=AQ67,AQ67,$AN$12*AP67)</f>
        <v>2085.0475188320647</v>
      </c>
      <c r="AV34" s="40">
        <f>COUNTIF(K20,"Var")*($AN$14)</f>
        <v>0</v>
      </c>
      <c r="AW34" s="40">
        <f ca="1">COUNTIF(K20,"Var")*((AV34+(AV34*0.00759*-1)+((AV34-AX34)*0.14*-1)+((AV34-AX34)*0.01*-1)+(AV34+((AV34-AX34)*0.14*-1)+((AV34-AX34)*0.01*-1))*AL70*-1))</f>
        <v>0</v>
      </c>
      <c r="AX34" s="40">
        <f>COUNTIF(K20,"Var")*($AN$2)</f>
        <v>0</v>
      </c>
      <c r="AY34" s="40">
        <f>(0)</f>
        <v>0</v>
      </c>
      <c r="AZ34" s="40">
        <f>($AN$17*N20)</f>
        <v>0</v>
      </c>
      <c r="BA34" s="40">
        <f ca="1">(AZ34+(AZ34*0.00759*-1)+((AZ34-BB34)*0.14*-1)+((AZ34-BB34)*0.01*-1)+(AZ34+((AZ34-BB34)*0.14*-1)+((AZ34-BB34)*0.01*-1))*AL70*-1)</f>
        <v>0</v>
      </c>
      <c r="BB34" s="40">
        <f>($AN$3*N20)</f>
        <v>0</v>
      </c>
      <c r="BC34" s="40">
        <f>($AN$6*N20)</f>
        <v>0</v>
      </c>
      <c r="BD34" s="42">
        <f ca="1">(AH53*Q20+BE34)*-1</f>
        <v>0</v>
      </c>
      <c r="BE34" s="42">
        <f ca="1">(AM53+AO53+AR34+AN67-AQ48)*(Q20*-1)</f>
        <v>0</v>
      </c>
      <c r="BF34" s="42">
        <f t="shared" ca="1" si="57"/>
        <v>0</v>
      </c>
      <c r="BG34" s="40">
        <f>(0)</f>
        <v>0</v>
      </c>
      <c r="BH34" s="40">
        <f>(BL20-BG34)</f>
        <v>10008</v>
      </c>
      <c r="BI34" s="40">
        <f t="shared" si="58"/>
        <v>-1401.1200000000001</v>
      </c>
      <c r="BJ34" s="40">
        <f t="shared" si="59"/>
        <v>-100.08</v>
      </c>
      <c r="BK34" s="40">
        <f>(0)</f>
        <v>0</v>
      </c>
      <c r="BL34" s="40">
        <f>(BH19+BI33+BJ33-BK34)</f>
        <v>8506.7999999999993</v>
      </c>
      <c r="BM34" s="40">
        <f>SUM(BL$30:$BL34)</f>
        <v>42534</v>
      </c>
      <c r="BN34" s="59">
        <f>IF(BM34&lt;=$BL$1,$BJ$1,
IF(BM34&gt;$BL$3,
IF(BM34&gt;$BL$4,$BJ$5,$BJ$4),
IF(BM34&lt;$BL$2,$BJ$2,$BJ$3)))</f>
        <v>0.15</v>
      </c>
      <c r="BO34" s="36">
        <f t="shared" si="60"/>
        <v>0</v>
      </c>
      <c r="BP34" s="40">
        <f ca="1">(AR48+AX34+BC48+BC48+BH6)</f>
        <v>2051.4</v>
      </c>
    </row>
    <row r="35" spans="29:68" ht="39.950000000000003" hidden="1" customHeight="1" x14ac:dyDescent="0.25">
      <c r="AC35" s="55" t="s">
        <v>27</v>
      </c>
      <c r="AD35" s="56" t="s">
        <v>123</v>
      </c>
      <c r="AE35" s="39">
        <v>33</v>
      </c>
      <c r="AF35" s="44">
        <v>16.5</v>
      </c>
      <c r="AG35" s="45">
        <v>0.35</v>
      </c>
      <c r="AH35" s="40">
        <f ca="1">(AQ63)</f>
        <v>2085.0475188320647</v>
      </c>
      <c r="AI35" s="40">
        <f t="shared" ref="AI35:AI45" ca="1" si="61">(AH35*0.00759*-1)</f>
        <v>-15.825510667935372</v>
      </c>
      <c r="AJ35" s="40">
        <f ca="1">(BL45-BN45-AH35)</f>
        <v>1447.81</v>
      </c>
      <c r="AK35" s="40">
        <f t="shared" ref="AK35:AK45" ca="1" si="62">(AJ35*0.00759*-1)</f>
        <v>-10.9888779</v>
      </c>
      <c r="AL35" s="40">
        <f t="shared" ref="AL35:AL45" ca="1" si="63">(AK35)</f>
        <v>-10.9888779</v>
      </c>
      <c r="AM35" s="40">
        <f ca="1">(BL45)</f>
        <v>13540.857518832065</v>
      </c>
      <c r="AN35" s="60">
        <f>(AT2*AR16)</f>
        <v>10262.56</v>
      </c>
      <c r="AO35" s="40">
        <f ca="1">(AN35*AM80)</f>
        <v>7336.8067695999998</v>
      </c>
      <c r="AP35" s="40">
        <f>(7*C21)</f>
        <v>0</v>
      </c>
      <c r="AQ35" s="40">
        <f ca="1">(AP35*AM85)</f>
        <v>0</v>
      </c>
      <c r="AR35" s="40">
        <f>(1.54*F21)</f>
        <v>0</v>
      </c>
      <c r="AS35" s="40">
        <f ca="1">(AR35*AM85)</f>
        <v>0</v>
      </c>
      <c r="AT35" s="40">
        <f ca="1">(AP68+AT49+AU49)</f>
        <v>2080.0025000000001</v>
      </c>
      <c r="AU35" s="40">
        <f ca="1">IF($AO$12*AP68&gt;=AQ68,AQ68,$AO$12*AP68)</f>
        <v>2085.0475188320647</v>
      </c>
      <c r="AV35" s="40">
        <f>COUNTIF(K21,"Var")*($AO$14)</f>
        <v>0</v>
      </c>
      <c r="AW35" s="40">
        <f ca="1">COUNTIF(K21,"Var")*((AV35+(AV35*0.00759*-1)+((AV35-AX35)*0.14*-1)+((AV35-AX35)*0.01*-1)+(AV35+((AV35-AX35)*0.14*-1)+((AV35-AX35)*0.01*-1))*AL71*-1))</f>
        <v>0</v>
      </c>
      <c r="AX35" s="40">
        <f>COUNTIF(K21,"Var")*($AO$2)</f>
        <v>0</v>
      </c>
      <c r="AY35" s="40">
        <f>(0)</f>
        <v>0</v>
      </c>
      <c r="AZ35" s="40">
        <f>($AO$17*N21)</f>
        <v>0</v>
      </c>
      <c r="BA35" s="40">
        <f ca="1">(AZ35+(AZ35*0.00759*-1)+((AZ35-BB35)*0.14*-1)+((AZ35-BB35)*0.01*-1)+(AZ35+((AZ35-BB35)*0.14*-1)+((AZ35-BB35)*0.01*-1))*AL71*-1)</f>
        <v>0</v>
      </c>
      <c r="BB35" s="40">
        <f>($AO$3*N21)</f>
        <v>0</v>
      </c>
      <c r="BC35" s="40">
        <f>($AO$6*N21)</f>
        <v>0</v>
      </c>
      <c r="BD35" s="42">
        <f ca="1">(AH54*Q21+BE35)*-1</f>
        <v>0</v>
      </c>
      <c r="BE35" s="42">
        <f ca="1">(AM54+AO54+AR35+AN68-AQ49)*(Q21*-1)</f>
        <v>0</v>
      </c>
      <c r="BF35" s="42">
        <f t="shared" ca="1" si="57"/>
        <v>0</v>
      </c>
      <c r="BG35" s="40">
        <f>(0)</f>
        <v>0</v>
      </c>
      <c r="BH35" s="40">
        <f>(BL21-BG35)</f>
        <v>10008</v>
      </c>
      <c r="BI35" s="40">
        <f t="shared" si="58"/>
        <v>-1401.1200000000001</v>
      </c>
      <c r="BJ35" s="40">
        <f t="shared" si="59"/>
        <v>-100.08</v>
      </c>
      <c r="BK35" s="40">
        <f>(0)</f>
        <v>0</v>
      </c>
      <c r="BL35" s="40">
        <f>(BH20+BI34+BJ34-BK35)</f>
        <v>8506.7999999999993</v>
      </c>
      <c r="BM35" s="40">
        <f>SUM(BL$30:$BL35)</f>
        <v>51040.800000000003</v>
      </c>
      <c r="BN35" s="59">
        <f>IF(BM35&lt;=$BL$1,$BJ$1,
IF(BM35&gt;$BL$3,
IF(BM35&gt;$BL$4,$BJ$5,$BJ$4),
IF(BM35&lt;$BL$2,$BJ$2,$BJ$3)))</f>
        <v>0.15</v>
      </c>
      <c r="BO35" s="36">
        <f t="shared" si="60"/>
        <v>0</v>
      </c>
      <c r="BP35" s="40">
        <f ca="1">(AR49+AX35+BC49+BC49+BH7)</f>
        <v>2051.4</v>
      </c>
    </row>
    <row r="36" spans="29:68" ht="39.950000000000003" hidden="1" customHeight="1" x14ac:dyDescent="0.25">
      <c r="AC36" s="55" t="s">
        <v>39</v>
      </c>
      <c r="AD36" s="56" t="s">
        <v>112</v>
      </c>
      <c r="AE36" s="39">
        <v>34</v>
      </c>
      <c r="AF36" s="44">
        <v>17</v>
      </c>
      <c r="AG36" s="45">
        <v>0.36</v>
      </c>
      <c r="AH36" s="40">
        <f ca="1">(AQ64)</f>
        <v>2085.0475188320647</v>
      </c>
      <c r="AI36" s="40">
        <f t="shared" ca="1" si="61"/>
        <v>-15.825510667935372</v>
      </c>
      <c r="AJ36" s="40">
        <f ca="1">(BL46-BN46-AH36)</f>
        <v>13542.969999999996</v>
      </c>
      <c r="AK36" s="40">
        <f t="shared" ca="1" si="62"/>
        <v>-102.79114229999998</v>
      </c>
      <c r="AL36" s="40">
        <f t="shared" ca="1" si="63"/>
        <v>-102.79114229999998</v>
      </c>
      <c r="AM36" s="40">
        <f ca="1">(BL46)</f>
        <v>25636.017518832061</v>
      </c>
      <c r="AN36" s="60">
        <f>(AT3*AR17)</f>
        <v>11362.119999999999</v>
      </c>
      <c r="AO36" s="40">
        <f ca="1">(AN36*AM81)</f>
        <v>8122.8932091999995</v>
      </c>
      <c r="AP36" s="40">
        <f>(7*C22)</f>
        <v>0</v>
      </c>
      <c r="AQ36" s="40">
        <f ca="1">(AP36*AM86)</f>
        <v>0</v>
      </c>
      <c r="AR36" s="40">
        <f>(1.54*F22)</f>
        <v>0</v>
      </c>
      <c r="AS36" s="40">
        <f ca="1">(AR36*AM86)</f>
        <v>0</v>
      </c>
      <c r="AT36" s="40">
        <f ca="1">(AP69+AT50+AU50)</f>
        <v>2080.0025000000001</v>
      </c>
      <c r="AU36" s="40">
        <f ca="1">IF($AO$12*AP69&gt;=AQ69,AQ69,$AO$12*AP69)</f>
        <v>2085.0475188320647</v>
      </c>
      <c r="AV36" s="40">
        <f>COUNTIF(K22,"Var")*($AO$14)</f>
        <v>0</v>
      </c>
      <c r="AW36" s="40">
        <f ca="1">COUNTIF(K22,"Var")*((AV36+(AV36*0.00759*-1)+((AV36-AX36)*0.14*-1)+((AV36-AX36)*0.01*-1)+(AV36+((AV36-AX36)*0.14*-1)+((AV36-AX36)*0.01*-1))*AL72*-1))</f>
        <v>0</v>
      </c>
      <c r="AX36" s="40">
        <f>COUNTIF(K22,"Var")*($AO$2)</f>
        <v>0</v>
      </c>
      <c r="AY36" s="40">
        <f>(0)</f>
        <v>0</v>
      </c>
      <c r="AZ36" s="40">
        <f>($AO$17*N22)</f>
        <v>0</v>
      </c>
      <c r="BA36" s="40">
        <f ca="1">(AZ36+(AZ36*0.00759*-1)+((AZ36-BB36)*0.14*-1)+((AZ36-BB36)*0.01*-1)+(AZ36+((AZ36-BB36)*0.14*-1)+((AZ36-BB36)*0.01*-1))*AL72*-1)</f>
        <v>0</v>
      </c>
      <c r="BB36" s="40">
        <f>($AO$3*N22)</f>
        <v>0</v>
      </c>
      <c r="BC36" s="40">
        <f>($AO$6*N22)</f>
        <v>0</v>
      </c>
      <c r="BD36" s="42">
        <f ca="1">(AH55*Q22+BE36)*-1</f>
        <v>0</v>
      </c>
      <c r="BE36" s="42">
        <f ca="1">(AM55+AO55+AR36+AN69-AQ50)*(Q22*-1)</f>
        <v>0</v>
      </c>
      <c r="BF36" s="42">
        <f t="shared" ca="1" si="57"/>
        <v>0</v>
      </c>
      <c r="BG36" s="40">
        <f>(0)</f>
        <v>0</v>
      </c>
      <c r="BH36" s="40">
        <f>(BL22-BG36)</f>
        <v>10008</v>
      </c>
      <c r="BI36" s="40">
        <f t="shared" si="58"/>
        <v>-1401.1200000000001</v>
      </c>
      <c r="BJ36" s="40">
        <f t="shared" si="59"/>
        <v>-100.08</v>
      </c>
      <c r="BK36" s="40">
        <f>(0)</f>
        <v>0</v>
      </c>
      <c r="BL36" s="40">
        <f>(BH21+BI35+BJ35-BK36)</f>
        <v>8506.7999999999993</v>
      </c>
      <c r="BM36" s="40">
        <f>SUM(BL$30:$BL36)</f>
        <v>59547.600000000006</v>
      </c>
      <c r="BN36" s="59">
        <f>IF(BM36&lt;=$BL$1,$BJ$1,
IF(BM36&gt;$BL$3,
IF(BM36&gt;$BL$4,$BJ$5,$BJ$4),
IF(BM36&lt;$BL$2,$BJ$2,$BJ$3)))</f>
        <v>0.15</v>
      </c>
      <c r="BO36" s="36">
        <f t="shared" si="60"/>
        <v>0</v>
      </c>
      <c r="BP36" s="40">
        <f ca="1">(AR50+AX36+BC50+BC50+BH8)</f>
        <v>2051.4</v>
      </c>
    </row>
    <row r="37" spans="29:68" ht="39.950000000000003" hidden="1" customHeight="1" x14ac:dyDescent="0.25">
      <c r="AC37" s="61" t="s">
        <v>41</v>
      </c>
      <c r="AD37" s="57" t="s">
        <v>115</v>
      </c>
      <c r="AE37" s="39">
        <v>35</v>
      </c>
      <c r="AF37" s="44">
        <v>17.5</v>
      </c>
      <c r="AG37" s="45">
        <v>0.37</v>
      </c>
      <c r="AH37" s="40">
        <f ca="1">(AQ65)</f>
        <v>2085.0475188320647</v>
      </c>
      <c r="AI37" s="40">
        <f t="shared" ca="1" si="61"/>
        <v>-15.825510667935372</v>
      </c>
      <c r="AJ37" s="40">
        <f ca="1">(BL47-BN47-AH37)</f>
        <v>2180.849999999999</v>
      </c>
      <c r="AK37" s="40">
        <f t="shared" ca="1" si="62"/>
        <v>-16.552651499999993</v>
      </c>
      <c r="AL37" s="40">
        <f t="shared" ca="1" si="63"/>
        <v>-16.552651499999993</v>
      </c>
      <c r="AM37" s="40">
        <f ca="1">(BL47)</f>
        <v>14273.897518832064</v>
      </c>
      <c r="AN37" s="60">
        <f>(AT4*AR18)</f>
        <v>10995.599999999999</v>
      </c>
      <c r="AO37" s="40">
        <f ca="1">(AN37*AM82)</f>
        <v>7860.864395999999</v>
      </c>
      <c r="AP37" s="40">
        <f>(7*C23)</f>
        <v>0</v>
      </c>
      <c r="AQ37" s="40">
        <f ca="1">(AP37*AM87)</f>
        <v>0</v>
      </c>
      <c r="AR37" s="40">
        <f>(1.54*F23)</f>
        <v>0</v>
      </c>
      <c r="AS37" s="40">
        <f ca="1">(AR37*AM87)</f>
        <v>0</v>
      </c>
      <c r="AT37" s="40">
        <f ca="1">(AP70+AT51+AU51)</f>
        <v>2080.0025000000001</v>
      </c>
      <c r="AU37" s="40">
        <f ca="1">IF($AO$12*AP70&gt;=AQ70,AQ70,$AO$12*AP70)</f>
        <v>2085.0475188320647</v>
      </c>
      <c r="AV37" s="40">
        <f>COUNTIF(K23,"Var")*($AO$14)</f>
        <v>0</v>
      </c>
      <c r="AW37" s="40">
        <f ca="1">COUNTIF(K23,"Var")*((AV37+(AV37*0.00759*-1)+((AV37-AX37)*0.14*-1)+((AV37-AX37)*0.01*-1)+(AV37+((AV37-AX37)*0.14*-1)+((AV37-AX37)*0.01*-1))*AL73*-1))</f>
        <v>0</v>
      </c>
      <c r="AX37" s="40">
        <f>COUNTIF(K23,"Var")*($AO$2)</f>
        <v>0</v>
      </c>
      <c r="AY37" s="40">
        <f>(0)</f>
        <v>0</v>
      </c>
      <c r="AZ37" s="40">
        <f>($AO$17*N23)</f>
        <v>0</v>
      </c>
      <c r="BA37" s="40">
        <f ca="1">(AZ37+(AZ37*0.00759*-1)+((AZ37-BB37)*0.14*-1)+((AZ37-BB37)*0.01*-1)+(AZ37+((AZ37-BB37)*0.14*-1)+((AZ37-BB37)*0.01*-1))*AL73*-1)</f>
        <v>0</v>
      </c>
      <c r="BB37" s="40">
        <f>($AO$3*N23)</f>
        <v>0</v>
      </c>
      <c r="BC37" s="40">
        <f>($AO$6*N23)</f>
        <v>0</v>
      </c>
      <c r="BD37" s="42">
        <f ca="1">(AH56*Q23+BE37)*-1</f>
        <v>0</v>
      </c>
      <c r="BE37" s="42">
        <f ca="1">(AM56+AO56+AR37+AN70-AQ51)*(Q23*-1)</f>
        <v>0</v>
      </c>
      <c r="BF37" s="42">
        <f t="shared" ca="1" si="57"/>
        <v>0</v>
      </c>
      <c r="BG37" s="40">
        <f>(0)</f>
        <v>0</v>
      </c>
      <c r="BH37" s="40">
        <f>(BL23-BG37)</f>
        <v>10008</v>
      </c>
      <c r="BI37" s="40">
        <f t="shared" si="58"/>
        <v>-1401.1200000000001</v>
      </c>
      <c r="BJ37" s="40">
        <f t="shared" si="59"/>
        <v>-100.08</v>
      </c>
      <c r="BK37" s="40">
        <f>(0)</f>
        <v>0</v>
      </c>
      <c r="BL37" s="40">
        <f>(BH22+BI36+BJ36-BK37)</f>
        <v>8506.7999999999993</v>
      </c>
      <c r="BM37" s="40">
        <f>SUM(BL$30:$BL37)</f>
        <v>68054.400000000009</v>
      </c>
      <c r="BN37" s="59">
        <f>IF(BM37&lt;=$BL$1,$BJ$1,
IF(BM37&gt;$BL$3,
IF(BM37&gt;$BL$4,$BJ$5,$BJ$4),
IF(BM37&lt;$BL$2,$BJ$2,$BJ$3)))</f>
        <v>0.15</v>
      </c>
      <c r="BO37" s="36">
        <f t="shared" si="60"/>
        <v>0</v>
      </c>
      <c r="BP37" s="40">
        <f ca="1">(AR51+AX37+BC51+BC51+BH9)</f>
        <v>2051.4</v>
      </c>
    </row>
    <row r="38" spans="29:68" ht="39.950000000000003" hidden="1" customHeight="1" x14ac:dyDescent="0.25">
      <c r="AC38" s="55" t="s">
        <v>47</v>
      </c>
      <c r="AD38" s="56" t="s">
        <v>116</v>
      </c>
      <c r="AE38" s="39">
        <v>36</v>
      </c>
      <c r="AF38" s="44">
        <v>18</v>
      </c>
      <c r="AG38" s="45">
        <v>0.38</v>
      </c>
      <c r="AH38" s="40">
        <f ca="1">(AQ66)</f>
        <v>2085.0475188320647</v>
      </c>
      <c r="AI38" s="40">
        <f t="shared" ca="1" si="61"/>
        <v>-15.825510667935372</v>
      </c>
      <c r="AJ38" s="40">
        <f ca="1">(BL48-BN48-AH38)</f>
        <v>2547.3699999999994</v>
      </c>
      <c r="AK38" s="40">
        <f t="shared" ca="1" si="62"/>
        <v>-19.334538299999998</v>
      </c>
      <c r="AL38" s="40">
        <f t="shared" ca="1" si="63"/>
        <v>-19.334538299999998</v>
      </c>
      <c r="AM38" s="40">
        <f ca="1">(BL48)</f>
        <v>14640.417518832064</v>
      </c>
      <c r="AN38" s="60">
        <f>(AT5*AR19)</f>
        <v>11362.119999999999</v>
      </c>
      <c r="AO38" s="40">
        <f ca="1">(AN38*AM83)</f>
        <v>8122.8932091999995</v>
      </c>
      <c r="AP38" s="40">
        <f>(7*C24)</f>
        <v>0</v>
      </c>
      <c r="AQ38" s="40">
        <f ca="1">(AP38*AM88)</f>
        <v>0</v>
      </c>
      <c r="AR38" s="40">
        <f>(1.54*F24)</f>
        <v>0</v>
      </c>
      <c r="AS38" s="40">
        <f ca="1">(AR38*AM88)</f>
        <v>0</v>
      </c>
      <c r="AT38" s="40">
        <f ca="1">(AP71+AT52+AU52)</f>
        <v>2080.0025000000001</v>
      </c>
      <c r="AU38" s="40">
        <f ca="1">IF($AO$12*AP71&gt;=AQ71,AQ71,$AO$12*AP71)</f>
        <v>2085.0475188320647</v>
      </c>
      <c r="AV38" s="40">
        <f>COUNTIF(K24,"Var")*($AO$14)</f>
        <v>0</v>
      </c>
      <c r="AW38" s="40">
        <f ca="1">COUNTIF(K24,"Var")*((AV38+(AV38*0.00759*-1)+((AV38-AX38)*0.14*-1)+((AV38-AX38)*0.01*-1)+(AV38+((AV38-AX38)*0.14*-1)+((AV38-AX38)*0.01*-1))*AL74*-1))</f>
        <v>0</v>
      </c>
      <c r="AX38" s="40">
        <f>COUNTIF(K24,"Var")*($AO$2)</f>
        <v>0</v>
      </c>
      <c r="AY38" s="40">
        <f>(0)</f>
        <v>0</v>
      </c>
      <c r="AZ38" s="40">
        <f>($AO$17*N24)</f>
        <v>0</v>
      </c>
      <c r="BA38" s="40">
        <f ca="1">(AZ38+(AZ38*0.00759*-1)+((AZ38-BB38)*0.14*-1)+((AZ38-BB38)*0.01*-1)+(AZ38+((AZ38-BB38)*0.14*-1)+((AZ38-BB38)*0.01*-1))*AL74*-1)</f>
        <v>0</v>
      </c>
      <c r="BB38" s="40">
        <f>($AO$3*N24)</f>
        <v>0</v>
      </c>
      <c r="BC38" s="40">
        <f>($AO$6*N24)</f>
        <v>0</v>
      </c>
      <c r="BD38" s="42">
        <f ca="1">(AH57*Q24+BE38)*-1</f>
        <v>0</v>
      </c>
      <c r="BE38" s="42">
        <f ca="1">(AM57+AO57+AR38+AN71-AQ52)*(Q24*-1)</f>
        <v>0</v>
      </c>
      <c r="BF38" s="42">
        <f t="shared" ca="1" si="57"/>
        <v>0</v>
      </c>
      <c r="BG38" s="40">
        <f>(0)</f>
        <v>0</v>
      </c>
      <c r="BH38" s="40">
        <f>(BL24-BG38)</f>
        <v>10008</v>
      </c>
      <c r="BI38" s="40">
        <f t="shared" si="58"/>
        <v>-1401.1200000000001</v>
      </c>
      <c r="BJ38" s="40">
        <f t="shared" si="59"/>
        <v>-100.08</v>
      </c>
      <c r="BK38" s="40">
        <f>(0)</f>
        <v>0</v>
      </c>
      <c r="BL38" s="40">
        <f>(BH23+BI37+BJ37-BK38)</f>
        <v>8506.7999999999993</v>
      </c>
      <c r="BM38" s="40">
        <f>SUM(BL$30:$BL38)</f>
        <v>76561.200000000012</v>
      </c>
      <c r="BN38" s="59">
        <f>IF(BM38&lt;=$BL$1,$BJ$1,
IF(BM38&gt;$BL$3,
IF(BM38&gt;$BL$4,$BJ$5,$BJ$4),
IF(BM38&lt;$BL$2,$BJ$2,$BJ$3)))</f>
        <v>0.2</v>
      </c>
      <c r="BO38" s="36">
        <f t="shared" si="60"/>
        <v>1</v>
      </c>
      <c r="BP38" s="40">
        <f ca="1">(AR52+AX38+BC52+BC52+BH10)</f>
        <v>2051.4</v>
      </c>
    </row>
    <row r="39" spans="29:68" ht="39.950000000000003" hidden="1" customHeight="1" x14ac:dyDescent="0.25">
      <c r="AC39" s="55" t="s">
        <v>113</v>
      </c>
      <c r="AD39" s="56" t="s">
        <v>114</v>
      </c>
      <c r="AE39" s="39">
        <v>37</v>
      </c>
      <c r="AF39" s="44">
        <v>18.5</v>
      </c>
      <c r="AG39" s="45">
        <v>0.39</v>
      </c>
      <c r="AH39" s="40">
        <f ca="1">(AQ67)</f>
        <v>2085.0475188320647</v>
      </c>
      <c r="AI39" s="40">
        <f t="shared" ca="1" si="61"/>
        <v>-15.825510667935372</v>
      </c>
      <c r="AJ39" s="40">
        <f ca="1">(BL49-BN49-AH39)</f>
        <v>2180.849999999999</v>
      </c>
      <c r="AK39" s="40">
        <f t="shared" ca="1" si="62"/>
        <v>-16.552651499999993</v>
      </c>
      <c r="AL39" s="40">
        <f t="shared" ca="1" si="63"/>
        <v>-16.552651499999993</v>
      </c>
      <c r="AM39" s="40">
        <f ca="1">(BL49)</f>
        <v>14273.897518832064</v>
      </c>
      <c r="AN39" s="60">
        <f>(AT6*AR20)</f>
        <v>10995.599999999999</v>
      </c>
      <c r="AO39" s="40">
        <f ca="1">(AN39*AM84)</f>
        <v>7428.8033633487294</v>
      </c>
      <c r="AP39" s="40">
        <f>(7*C25)</f>
        <v>0</v>
      </c>
      <c r="AQ39" s="40">
        <f ca="1">(AP39*AM89)</f>
        <v>0</v>
      </c>
      <c r="AR39" s="40">
        <f>(1.54*F25)</f>
        <v>0</v>
      </c>
      <c r="AS39" s="40">
        <f ca="1">(AR39*AM89)</f>
        <v>0</v>
      </c>
      <c r="AT39" s="40">
        <f ca="1">(AP72+AT53+AU53)</f>
        <v>2080.0025000000001</v>
      </c>
      <c r="AU39" s="40">
        <f ca="1">IF($AO$12*AP72&gt;=AQ72,AQ72,$AO$12*AP72)</f>
        <v>2085.0475188320647</v>
      </c>
      <c r="AV39" s="40">
        <f>COUNTIF(K25,"Var")*($AO$14)</f>
        <v>0</v>
      </c>
      <c r="AW39" s="40">
        <f ca="1">COUNTIF(K25,"Var")*((AV39+(AV39*0.00759*-1)+((AV39-AX39)*0.14*-1)+((AV39-AX39)*0.01*-1)+(AV39+((AV39-AX39)*0.14*-1)+((AV39-AX39)*0.01*-1))*AL75*-1))</f>
        <v>0</v>
      </c>
      <c r="AX39" s="40">
        <f>COUNTIF(K25,"Var")*($AO$2)</f>
        <v>0</v>
      </c>
      <c r="AY39" s="40">
        <f>(0)</f>
        <v>0</v>
      </c>
      <c r="AZ39" s="40">
        <f>($AO$17*N25)</f>
        <v>0</v>
      </c>
      <c r="BA39" s="40">
        <f ca="1">(AZ39+(AZ39*0.00759*-1)+((AZ39-BB39)*0.14*-1)+((AZ39-BB39)*0.01*-1)+(AZ39+((AZ39-BB39)*0.14*-1)+((AZ39-BB39)*0.01*-1))*AL75*-1)</f>
        <v>0</v>
      </c>
      <c r="BB39" s="40">
        <f>($AO$3*N25)</f>
        <v>0</v>
      </c>
      <c r="BC39" s="40">
        <f>($AO$6*N25)</f>
        <v>0</v>
      </c>
      <c r="BD39" s="42">
        <f ca="1">(AH58*Q25+BE39)*-1</f>
        <v>0</v>
      </c>
      <c r="BE39" s="42">
        <f ca="1">(AM58+AO58+AR39+AN72-AQ53)*(Q25*-1)</f>
        <v>0</v>
      </c>
      <c r="BF39" s="42">
        <f t="shared" ca="1" si="57"/>
        <v>0</v>
      </c>
      <c r="BG39" s="40">
        <f>(0)</f>
        <v>0</v>
      </c>
      <c r="BH39" s="40">
        <f>(BL25-BG39)</f>
        <v>10008</v>
      </c>
      <c r="BI39" s="40">
        <f t="shared" si="58"/>
        <v>-1401.1200000000001</v>
      </c>
      <c r="BJ39" s="40">
        <f t="shared" si="59"/>
        <v>-100.08</v>
      </c>
      <c r="BK39" s="40">
        <f>(0)</f>
        <v>0</v>
      </c>
      <c r="BL39" s="40">
        <f>(BH24+BI38+BJ38-BK39)</f>
        <v>8506.7999999999993</v>
      </c>
      <c r="BM39" s="40">
        <f>SUM(BL$30:$BL39)</f>
        <v>85068.000000000015</v>
      </c>
      <c r="BN39" s="59">
        <f>IF(BM39&lt;=$BL$1,$BJ$1,
IF(BM39&gt;$BL$3,
IF(BM39&gt;$BL$4,$BJ$5,$BJ$4),
IF(BM39&lt;$BL$2,$BJ$2,$BJ$3)))</f>
        <v>0.2</v>
      </c>
      <c r="BO39" s="36">
        <f t="shared" si="60"/>
        <v>0</v>
      </c>
      <c r="BP39" s="40">
        <f ca="1">(AR53+AX39+BC53+BC53+BH11)</f>
        <v>2051.4</v>
      </c>
    </row>
    <row r="40" spans="29:68" ht="39.950000000000003" hidden="1" customHeight="1" x14ac:dyDescent="0.25">
      <c r="AC40" s="37" t="s">
        <v>0</v>
      </c>
      <c r="AD40" s="57" t="s">
        <v>0</v>
      </c>
      <c r="AE40" s="39">
        <v>38</v>
      </c>
      <c r="AF40" s="44">
        <v>19</v>
      </c>
      <c r="AG40" s="45">
        <v>0.4</v>
      </c>
      <c r="AH40" s="40">
        <f ca="1">(AQ68)</f>
        <v>2085.0475188320647</v>
      </c>
      <c r="AI40" s="40">
        <f t="shared" ca="1" si="61"/>
        <v>-15.825510667935372</v>
      </c>
      <c r="AJ40" s="40">
        <f ca="1">(BL50-BN50-AH40)</f>
        <v>2547.3699999999994</v>
      </c>
      <c r="AK40" s="40">
        <f t="shared" ca="1" si="62"/>
        <v>-19.334538299999998</v>
      </c>
      <c r="AL40" s="40">
        <f t="shared" ca="1" si="63"/>
        <v>-19.334538299999998</v>
      </c>
      <c r="AM40" s="40">
        <f ca="1">(BL50)</f>
        <v>14640.417518832064</v>
      </c>
      <c r="AN40" s="60">
        <f>(AT7*AR21)</f>
        <v>11362.119999999999</v>
      </c>
      <c r="AO40" s="40">
        <f ca="1">(AN40*AM85)</f>
        <v>7640.003109199999</v>
      </c>
      <c r="AP40" s="40">
        <f>(7*C26)</f>
        <v>0</v>
      </c>
      <c r="AQ40" s="40">
        <f ca="1">(AP40*AM90)</f>
        <v>0</v>
      </c>
      <c r="AR40" s="40">
        <f>(1.54*F26)</f>
        <v>0</v>
      </c>
      <c r="AS40" s="40">
        <f ca="1">(AR40*AM90)</f>
        <v>0</v>
      </c>
      <c r="AT40" s="40">
        <f ca="1">(AP73+AT54+AU54)</f>
        <v>2080.0025000000001</v>
      </c>
      <c r="AU40" s="40">
        <f ca="1">IF($AO$12*AP73&gt;=AQ73,AQ73,$AO$12*AP73)</f>
        <v>2085.0475188320647</v>
      </c>
      <c r="AV40" s="40">
        <f>COUNTIF(K26,"Var")*($AO$14)</f>
        <v>0</v>
      </c>
      <c r="AW40" s="40">
        <f ca="1">COUNTIF(K26,"Var")*((AV40+(AV40*0.00759*-1)+((AV40-AX40)*0.14*-1)+((AV40-AX40)*0.01*-1)+(AV40+((AV40-AX40)*0.14*-1)+((AV40-AX40)*0.01*-1))*AL76*-1))</f>
        <v>0</v>
      </c>
      <c r="AX40" s="40">
        <f>COUNTIF(K26,"Var")*($AO$2)</f>
        <v>0</v>
      </c>
      <c r="AY40" s="40">
        <f>(0)</f>
        <v>0</v>
      </c>
      <c r="AZ40" s="40">
        <f>($AO$17*N26)</f>
        <v>0</v>
      </c>
      <c r="BA40" s="40">
        <f ca="1">(AZ40+(AZ40*0.00759*-1)+((AZ40-BB40)*0.14*-1)+((AZ40-BB40)*0.01*-1)+(AZ40+((AZ40-BB40)*0.14*-1)+((AZ40-BB40)*0.01*-1))*AL76*-1)</f>
        <v>0</v>
      </c>
      <c r="BB40" s="40">
        <f>($AO$3*N26)</f>
        <v>0</v>
      </c>
      <c r="BC40" s="40">
        <f>($AO$6*N26)</f>
        <v>0</v>
      </c>
      <c r="BD40" s="42">
        <f ca="1">(AH59*Q26+BE40)*-1</f>
        <v>0</v>
      </c>
      <c r="BE40" s="42">
        <f ca="1">(AM59+AO59+AR40+AN73-AQ54)*(Q26*-1)</f>
        <v>0</v>
      </c>
      <c r="BF40" s="42">
        <f t="shared" ca="1" si="57"/>
        <v>0</v>
      </c>
      <c r="BG40" s="40">
        <f>(0)</f>
        <v>0</v>
      </c>
      <c r="BH40" s="40">
        <f>(BL26-BG40)</f>
        <v>10008</v>
      </c>
      <c r="BI40" s="40">
        <f t="shared" si="58"/>
        <v>-1401.1200000000001</v>
      </c>
      <c r="BJ40" s="40">
        <f t="shared" si="59"/>
        <v>-100.08</v>
      </c>
      <c r="BK40" s="40">
        <f>(0)</f>
        <v>0</v>
      </c>
      <c r="BL40" s="40">
        <f>(BH25+BI39+BJ39-BK40)</f>
        <v>8506.7999999999993</v>
      </c>
      <c r="BM40" s="40">
        <f>SUM(BL$30:$BL40)</f>
        <v>93574.800000000017</v>
      </c>
      <c r="BN40" s="59">
        <f>IF(BM40&lt;=$BL$1,$BJ$1,
IF(BM40&gt;$BL$3,
IF(BM40&gt;$BL$4,$BJ$5,$BJ$4),
IF(BM40&lt;$BL$2,$BJ$2,$BJ$3)))</f>
        <v>0.2</v>
      </c>
      <c r="BO40" s="36">
        <f t="shared" si="60"/>
        <v>0</v>
      </c>
      <c r="BP40" s="40">
        <f ca="1">(AR54+AX40+BC54+BC54+BH12)</f>
        <v>2051.4</v>
      </c>
    </row>
    <row r="41" spans="29:68" ht="39.950000000000003" hidden="1" customHeight="1" x14ac:dyDescent="0.25">
      <c r="AC41" s="37" t="s">
        <v>0</v>
      </c>
      <c r="AD41" s="57" t="s">
        <v>0</v>
      </c>
      <c r="AE41" s="39">
        <v>39</v>
      </c>
      <c r="AF41" s="44">
        <v>19.5</v>
      </c>
      <c r="AG41" s="45">
        <v>0.41</v>
      </c>
      <c r="AH41" s="40">
        <f ca="1">(AQ69)</f>
        <v>2085.0475188320647</v>
      </c>
      <c r="AI41" s="40">
        <f t="shared" ca="1" si="61"/>
        <v>-15.825510667935372</v>
      </c>
      <c r="AJ41" s="40">
        <f ca="1">(BL51-BN51-AH41)</f>
        <v>2547.3699999999994</v>
      </c>
      <c r="AK41" s="40">
        <f t="shared" ca="1" si="62"/>
        <v>-19.334538299999998</v>
      </c>
      <c r="AL41" s="40">
        <f t="shared" ca="1" si="63"/>
        <v>-19.334538299999998</v>
      </c>
      <c r="AM41" s="40">
        <f ca="1">(BL51)</f>
        <v>14640.417518832064</v>
      </c>
      <c r="AN41" s="60">
        <f>(AT8*AR22)</f>
        <v>11362.119999999999</v>
      </c>
      <c r="AO41" s="40">
        <f ca="1">(AN41*AM86)</f>
        <v>7640.003109199999</v>
      </c>
      <c r="AP41" s="40">
        <f t="shared" ref="AP41:AQ41" si="64">(AP29+AP30+AP31+AP32+AP33+AP34+AP35+AP36+AP37+AP38+AP39+AP40)</f>
        <v>0</v>
      </c>
      <c r="AQ41" s="40">
        <f t="shared" ca="1" si="64"/>
        <v>0</v>
      </c>
      <c r="AR41" s="40">
        <f t="shared" ref="AR41:AS41" si="65">(AR29+AR30+AR31+AR32+AR33+AR34+AR35+AR36+AR37+AR38+AR39+AR40)</f>
        <v>0</v>
      </c>
      <c r="AS41" s="40">
        <f t="shared" ca="1" si="65"/>
        <v>0</v>
      </c>
      <c r="AT41" s="40">
        <f ca="1">(AT29+AT30+AT31+AT32+AT33+AT34+AT35+AT36+AT37+AT38+AT39+AT40)</f>
        <v>24960.029999999995</v>
      </c>
      <c r="AU41" s="40">
        <f ca="1">(AU29+AU30+AU31+AU32+AU33+AU34+AU35+AU36+AU37+AU38+AU39+AU40)</f>
        <v>25020.570225984771</v>
      </c>
      <c r="AV41" s="40">
        <f t="shared" ref="AV41:AY41" si="66">(AV29+AV30+AV31+AV32+AV33+AV34+AV35+AV36+AV37+AV38+AV39+AV40)</f>
        <v>0</v>
      </c>
      <c r="AW41" s="40">
        <f t="shared" ca="1" si="66"/>
        <v>0</v>
      </c>
      <c r="AX41" s="40">
        <f t="shared" si="66"/>
        <v>0</v>
      </c>
      <c r="AY41" s="40">
        <f t="shared" si="66"/>
        <v>0</v>
      </c>
      <c r="AZ41" s="40">
        <f t="shared" ref="AZ41:BC41" si="67">(AZ29+AZ30+AZ31+AZ32+AZ33+AZ34+AZ35+AZ36+AZ37+AZ38+AZ39+AZ40)</f>
        <v>0</v>
      </c>
      <c r="BA41" s="40">
        <f t="shared" ca="1" si="67"/>
        <v>0</v>
      </c>
      <c r="BB41" s="40">
        <f t="shared" si="67"/>
        <v>0</v>
      </c>
      <c r="BC41" s="40">
        <f t="shared" si="67"/>
        <v>0</v>
      </c>
      <c r="BD41" s="40">
        <f t="shared" ref="BD41:BF41" ca="1" si="68">(BD29+BD30+BD31+BD32+BD33+BD34+BD35+BD36+BD37+BD38+BD39+BD40)</f>
        <v>0</v>
      </c>
      <c r="BE41" s="40">
        <f t="shared" ca="1" si="68"/>
        <v>0</v>
      </c>
      <c r="BF41" s="40">
        <f t="shared" ca="1" si="68"/>
        <v>0</v>
      </c>
      <c r="BG41" s="40">
        <f t="shared" ref="BG41" si="69">(BG29+BG30+BG31+BG32+BG33+BG34+BG35+BG36+BG37+BG38+BG39+BG40)</f>
        <v>0</v>
      </c>
      <c r="BH41" s="40">
        <f t="shared" ref="BH41" si="70">(BH29+BH30+BH31+BH32+BH33+BH34+BH35+BH36+BH37+BH38+BH39+BH40)</f>
        <v>120096</v>
      </c>
      <c r="BI41" s="40">
        <f t="shared" ref="BI41" si="71">(BI29+BI30+BI31+BI32+BI33+BI34+BI35+BI36+BI37+BI38+BI39+BI40)</f>
        <v>-16813.440000000006</v>
      </c>
      <c r="BJ41" s="40">
        <f t="shared" ref="BJ41" si="72">(BJ29+BJ30+BJ31+BJ32+BJ33+BJ34+BJ35+BJ36+BJ37+BJ38+BJ39+BJ40)</f>
        <v>-1200.96</v>
      </c>
      <c r="BK41" s="40">
        <f>(0)</f>
        <v>0</v>
      </c>
      <c r="BL41" s="40">
        <f>(BH26+BI40+BJ40-BK41)</f>
        <v>8506.7999999999993</v>
      </c>
      <c r="BM41" s="40">
        <f>SUM(BL$30:$BL41)</f>
        <v>102081.60000000002</v>
      </c>
      <c r="BN41" s="59">
        <f>IF(BM41&lt;=$BL$1,$BJ$1,
IF(BM41&gt;$BL$3,
IF(BM41&gt;$BL$4,$BJ$5,$BJ$4),
IF(BM41&lt;$BL$2,$BJ$2,$BJ$3)))</f>
        <v>0.2</v>
      </c>
      <c r="BO41" s="36">
        <f t="shared" si="60"/>
        <v>0</v>
      </c>
      <c r="BP41" s="40">
        <f t="shared" ref="BP41" ca="1" si="73">(BP29+BP30+BP31+BP32+BP33+BP34+BP35+BP36+BP37+BP38+BP39+BP40)</f>
        <v>24616.800000000007</v>
      </c>
    </row>
    <row r="42" spans="29:68" ht="39.950000000000003" hidden="1" customHeight="1" x14ac:dyDescent="0.25">
      <c r="AC42" s="37" t="s">
        <v>0</v>
      </c>
      <c r="AD42" s="57" t="s">
        <v>0</v>
      </c>
      <c r="AE42" s="39">
        <v>40</v>
      </c>
      <c r="AF42" s="44">
        <v>20</v>
      </c>
      <c r="AG42" s="45">
        <v>0.42</v>
      </c>
      <c r="AH42" s="40">
        <f ca="1">(AQ70)</f>
        <v>2085.0475188320647</v>
      </c>
      <c r="AI42" s="40">
        <f t="shared" ca="1" si="61"/>
        <v>-15.825510667935372</v>
      </c>
      <c r="AJ42" s="40">
        <f ca="1">(BL52-BN52-AH42)</f>
        <v>2180.849999999999</v>
      </c>
      <c r="AK42" s="40">
        <f t="shared" ca="1" si="62"/>
        <v>-16.552651499999993</v>
      </c>
      <c r="AL42" s="40">
        <f t="shared" ca="1" si="63"/>
        <v>-16.552651499999993</v>
      </c>
      <c r="AM42" s="40">
        <f ca="1">(BL52)</f>
        <v>14273.897518832064</v>
      </c>
      <c r="AN42" s="60">
        <f>(AT9*AR23)</f>
        <v>10995.599999999999</v>
      </c>
      <c r="AO42" s="40">
        <f ca="1">(AN42*AM87)</f>
        <v>7393.5513959999989</v>
      </c>
      <c r="AP42" s="40">
        <f t="shared" ref="AP42:AQ42" si="74">(AP41/12)</f>
        <v>0</v>
      </c>
      <c r="AQ42" s="40">
        <f t="shared" ca="1" si="74"/>
        <v>0</v>
      </c>
      <c r="AR42" s="40">
        <f t="shared" ref="AR42:AS42" si="75">(AR41/12)</f>
        <v>0</v>
      </c>
      <c r="AS42" s="40">
        <f t="shared" ca="1" si="75"/>
        <v>0</v>
      </c>
      <c r="AT42" s="40">
        <f ca="1">(AT41/12)</f>
        <v>2080.0024999999996</v>
      </c>
      <c r="AU42" s="40">
        <f ca="1">(AU41/12)</f>
        <v>2085.0475188320643</v>
      </c>
      <c r="AV42" s="40">
        <f t="shared" ref="AV42:AY42" si="76">(AV41/12)</f>
        <v>0</v>
      </c>
      <c r="AW42" s="40">
        <f t="shared" ca="1" si="76"/>
        <v>0</v>
      </c>
      <c r="AX42" s="40">
        <f t="shared" si="76"/>
        <v>0</v>
      </c>
      <c r="AY42" s="40">
        <f t="shared" si="76"/>
        <v>0</v>
      </c>
      <c r="AZ42" s="40">
        <f t="shared" ref="AZ42:BC42" si="77">(AZ41/12)</f>
        <v>0</v>
      </c>
      <c r="BA42" s="40">
        <f t="shared" ca="1" si="77"/>
        <v>0</v>
      </c>
      <c r="BB42" s="40">
        <f t="shared" si="77"/>
        <v>0</v>
      </c>
      <c r="BC42" s="40">
        <f t="shared" si="77"/>
        <v>0</v>
      </c>
      <c r="BD42" s="40">
        <f t="shared" ref="BD42:BF42" ca="1" si="78">(BD41/12)</f>
        <v>0</v>
      </c>
      <c r="BE42" s="40">
        <f t="shared" ca="1" si="78"/>
        <v>0</v>
      </c>
      <c r="BF42" s="40">
        <f t="shared" ca="1" si="78"/>
        <v>0</v>
      </c>
      <c r="BG42" s="40">
        <f t="shared" ref="BG42" si="79">(BG41/12)</f>
        <v>0</v>
      </c>
      <c r="BH42" s="40">
        <f t="shared" ref="BH42" si="80">(BH41/12)</f>
        <v>10008</v>
      </c>
      <c r="BI42" s="40">
        <f t="shared" ref="BI42" si="81">(BI41/12)</f>
        <v>-1401.1200000000006</v>
      </c>
      <c r="BJ42" s="40">
        <f t="shared" ref="BJ42" si="82">(BJ41/12)</f>
        <v>-100.08</v>
      </c>
      <c r="BK42" s="40">
        <f t="shared" ref="BK42" si="83">(BK30+BK31+BK32+BK33+BK34+BK35+BK36+BK37+BK38+BK39+BK40+BK41)</f>
        <v>0</v>
      </c>
      <c r="BL42" s="40">
        <f t="shared" ref="BL42" si="84">(BL30+BL31+BL32+BL33+BL34+BL35+BL36+BL37+BL38+BL39+BL40+BL41)</f>
        <v>102081.60000000002</v>
      </c>
      <c r="BM42" s="48" t="s">
        <v>0</v>
      </c>
      <c r="BN42" s="39" t="s">
        <v>0</v>
      </c>
      <c r="BO42" s="39" t="s">
        <v>0</v>
      </c>
      <c r="BP42" s="40">
        <f t="shared" ref="BP42" ca="1" si="85">(BP41/12)</f>
        <v>2051.4000000000005</v>
      </c>
    </row>
    <row r="43" spans="29:68" ht="39.950000000000003" hidden="1" customHeight="1" x14ac:dyDescent="0.25">
      <c r="AC43" s="37" t="s">
        <v>0</v>
      </c>
      <c r="AD43" s="57" t="s">
        <v>0</v>
      </c>
      <c r="AE43" s="39">
        <v>41</v>
      </c>
      <c r="AF43" s="44">
        <v>20.5</v>
      </c>
      <c r="AG43" s="45">
        <v>0.43</v>
      </c>
      <c r="AH43" s="40">
        <f ca="1">(AQ71)</f>
        <v>2085.0475188320647</v>
      </c>
      <c r="AI43" s="40">
        <f t="shared" ca="1" si="61"/>
        <v>-15.825510667935372</v>
      </c>
      <c r="AJ43" s="40">
        <f ca="1">(BL53-BN53-AH43)</f>
        <v>2547.3699999999994</v>
      </c>
      <c r="AK43" s="40">
        <f t="shared" ca="1" si="62"/>
        <v>-19.334538299999998</v>
      </c>
      <c r="AL43" s="40">
        <f t="shared" ca="1" si="63"/>
        <v>-19.334538299999998</v>
      </c>
      <c r="AM43" s="40">
        <f ca="1">(BL53)</f>
        <v>14640.417518832064</v>
      </c>
      <c r="AN43" s="60">
        <f>(AT10*AR24)</f>
        <v>11362.119999999999</v>
      </c>
      <c r="AO43" s="40">
        <f ca="1">(AN43*AM88)</f>
        <v>7640.003109199999</v>
      </c>
      <c r="AQ43" s="40">
        <f ca="1">(AP62)</f>
        <v>2085.0500000000002</v>
      </c>
      <c r="AR43" s="40">
        <f ca="1">IF($AN$11*G15&gt;=AN62,AN62,$AN$11*G15)</f>
        <v>2051.4</v>
      </c>
      <c r="AS43" s="40">
        <f ca="1">(AQ43-AR43)</f>
        <v>33.650000000000091</v>
      </c>
      <c r="AT43" s="40">
        <f ca="1">(AS43*0.14*-1)</f>
        <v>-4.7110000000000136</v>
      </c>
      <c r="AU43" s="40">
        <f ca="1">(AS43*0.01*-1)</f>
        <v>-0.33650000000000091</v>
      </c>
      <c r="AV43" s="40">
        <f>($AN$18*O15)</f>
        <v>0</v>
      </c>
      <c r="AW43" s="40">
        <f ca="1">(AV43+(AV43*0.00759*-1)+((AV43-AX43)*0.14*-1)+((AV43-AX43)*0.01*-1)+(AV43+((AV43-AX43)*0.14*-1)+((AV43-AX43)*0.01*-1))*AL65*-1)</f>
        <v>0</v>
      </c>
      <c r="AX43" s="40">
        <f>($AN$4*O15)</f>
        <v>0</v>
      </c>
      <c r="AY43" s="40">
        <f>($AN$7*O15)</f>
        <v>0</v>
      </c>
      <c r="AZ43" s="62">
        <f>(L15+M15+N15+O15)</f>
        <v>0</v>
      </c>
      <c r="BA43" s="40">
        <f>(BA15+BA1+AZ29+AV43)</f>
        <v>0</v>
      </c>
      <c r="BB43" s="40">
        <f ca="1">(BB15+BB1+BA29+AW43)</f>
        <v>0</v>
      </c>
      <c r="BC43" s="40">
        <f>IF(BC15+BC1+BB29+AX43&gt;=$AN$6*2,$AN$6*2,BC15+BC1+BB29+AX43)</f>
        <v>0</v>
      </c>
      <c r="BD43" s="40">
        <f>(BD15+BD1+BC29+AY43)</f>
        <v>0</v>
      </c>
      <c r="BK43" s="40">
        <f t="shared" ref="BK43" si="86">(BK42/12)</f>
        <v>0</v>
      </c>
      <c r="BL43" s="40">
        <f t="shared" ref="BL43" si="87">(BL42/12)</f>
        <v>8506.8000000000011</v>
      </c>
      <c r="BM43" s="48" t="s">
        <v>0</v>
      </c>
      <c r="BN43" s="48" t="s">
        <v>0</v>
      </c>
      <c r="BO43" s="48" t="s">
        <v>0</v>
      </c>
    </row>
    <row r="44" spans="29:68" ht="39.950000000000003" hidden="1" customHeight="1" x14ac:dyDescent="0.25">
      <c r="AC44" s="37" t="s">
        <v>0</v>
      </c>
      <c r="AD44" s="57" t="s">
        <v>0</v>
      </c>
      <c r="AE44" s="39">
        <v>42</v>
      </c>
      <c r="AF44" s="44">
        <v>21</v>
      </c>
      <c r="AG44" s="45">
        <v>0.44</v>
      </c>
      <c r="AH44" s="40">
        <f ca="1">(AQ72)</f>
        <v>2085.0475188320647</v>
      </c>
      <c r="AI44" s="40">
        <f t="shared" ca="1" si="61"/>
        <v>-15.825510667935372</v>
      </c>
      <c r="AJ44" s="40">
        <f ca="1">(BL54-BN54-AH44)</f>
        <v>2180.849999999999</v>
      </c>
      <c r="AK44" s="40">
        <f t="shared" ca="1" si="62"/>
        <v>-16.552651499999993</v>
      </c>
      <c r="AL44" s="40">
        <f t="shared" ca="1" si="63"/>
        <v>-16.552651499999993</v>
      </c>
      <c r="AM44" s="40">
        <f ca="1">(BL54)</f>
        <v>14273.897518832064</v>
      </c>
      <c r="AN44" s="60">
        <f>(AT11*AR25)</f>
        <v>10995.599999999999</v>
      </c>
      <c r="AO44" s="40">
        <f ca="1">(AN44*AM89)</f>
        <v>7393.5513959999989</v>
      </c>
      <c r="AQ44" s="40">
        <f ca="1">(AP63)</f>
        <v>2085.0500000000002</v>
      </c>
      <c r="AR44" s="40">
        <f ca="1">IF($AN$11*G16&gt;=AN63,AN63,$AN$11*G16)</f>
        <v>2051.4</v>
      </c>
      <c r="AS44" s="40">
        <f t="shared" ref="AS44:AS54" ca="1" si="88">(AQ44-AR44)</f>
        <v>33.650000000000091</v>
      </c>
      <c r="AT44" s="40">
        <f t="shared" ref="AT44:AT54" ca="1" si="89">(AS44*0.14*-1)</f>
        <v>-4.7110000000000136</v>
      </c>
      <c r="AU44" s="40">
        <f t="shared" ref="AU44:AU54" ca="1" si="90">(AS44*0.01*-1)</f>
        <v>-0.33650000000000091</v>
      </c>
      <c r="AV44" s="40">
        <f>($AN$18*O16)</f>
        <v>0</v>
      </c>
      <c r="AW44" s="40">
        <f ca="1">(AV44+(AV44*0.00759*-1)+((AV44-AX44)*0.14*-1)+((AV44-AX44)*0.01*-1)+(AV44+((AV44-AX44)*0.14*-1)+((AV44-AX44)*0.01*-1))*AL66*-1)</f>
        <v>0</v>
      </c>
      <c r="AX44" s="40">
        <f>($AN$4*O16)</f>
        <v>0</v>
      </c>
      <c r="AY44" s="40">
        <f>($AN$7*O16)</f>
        <v>0</v>
      </c>
      <c r="AZ44" s="62">
        <f>(L16+M16+N16+O16)</f>
        <v>0</v>
      </c>
      <c r="BA44" s="40">
        <f>(BA16+BA2+AZ30+AV44)</f>
        <v>0</v>
      </c>
      <c r="BB44" s="40">
        <f ca="1">(BB16+BB2+BA30+AW44)</f>
        <v>0</v>
      </c>
      <c r="BC44" s="40">
        <f>IF(BC16+BC2+BB30+AX44&gt;=$AN$6*2,$AN$6*2,BC16+BC2+BB30+AX44)</f>
        <v>0</v>
      </c>
      <c r="BD44" s="40">
        <f>(BD16+BD2+BC30+AY44)</f>
        <v>0</v>
      </c>
      <c r="BL44" s="40">
        <f ca="1">(AN34+AP29+AM48+AO48+AR29+AN62+AW15+AV1+AY1+AY15+AV29+BA43+BG1)</f>
        <v>25636.017518832061</v>
      </c>
      <c r="BM44" s="40">
        <f ca="1">(BL44*0.00759*-1)</f>
        <v>-194.57737296793536</v>
      </c>
      <c r="BN44" s="40">
        <f>(BI15)</f>
        <v>10008</v>
      </c>
      <c r="BO44" s="40">
        <f>(BN44*0.00759*-1)</f>
        <v>-75.960720000000009</v>
      </c>
    </row>
    <row r="45" spans="29:68" ht="39.950000000000003" hidden="1" customHeight="1" x14ac:dyDescent="0.25">
      <c r="AC45" s="37" t="s">
        <v>0</v>
      </c>
      <c r="AD45" s="57" t="s">
        <v>0</v>
      </c>
      <c r="AE45" s="39">
        <v>43</v>
      </c>
      <c r="AF45" s="44">
        <v>21.5</v>
      </c>
      <c r="AG45" s="45">
        <v>0.45</v>
      </c>
      <c r="AH45" s="40">
        <f ca="1">(AQ73)</f>
        <v>2085.0475188320647</v>
      </c>
      <c r="AI45" s="40">
        <f t="shared" ca="1" si="61"/>
        <v>-15.825510667935372</v>
      </c>
      <c r="AJ45" s="40">
        <f ca="1">(BL55-BN55-AH45)</f>
        <v>2547.3699999999994</v>
      </c>
      <c r="AK45" s="40">
        <f t="shared" ca="1" si="62"/>
        <v>-19.334538299999998</v>
      </c>
      <c r="AL45" s="40">
        <f t="shared" ca="1" si="63"/>
        <v>-19.334538299999998</v>
      </c>
      <c r="AM45" s="40">
        <f ca="1">(BL55)</f>
        <v>14640.417518832064</v>
      </c>
      <c r="AN45" s="60">
        <f>(AT12*AR26)</f>
        <v>11362.119999999999</v>
      </c>
      <c r="AO45" s="40">
        <f ca="1">(AN45*AM90)</f>
        <v>7640.003109199999</v>
      </c>
      <c r="AQ45" s="40">
        <f ca="1">(AP64)</f>
        <v>2085.0500000000002</v>
      </c>
      <c r="AR45" s="40">
        <f ca="1">IF($AN$11*G17&gt;=AN64,AN64,$AN$11*G17)</f>
        <v>2051.4</v>
      </c>
      <c r="AS45" s="40">
        <f t="shared" ca="1" si="88"/>
        <v>33.650000000000091</v>
      </c>
      <c r="AT45" s="40">
        <f t="shared" ca="1" si="89"/>
        <v>-4.7110000000000136</v>
      </c>
      <c r="AU45" s="40">
        <f t="shared" ca="1" si="90"/>
        <v>-0.33650000000000091</v>
      </c>
      <c r="AV45" s="40">
        <f>($AN$18*O17)</f>
        <v>0</v>
      </c>
      <c r="AW45" s="40">
        <f ca="1">(AV45+(AV45*0.00759*-1)+((AV45-AX45)*0.14*-1)+((AV45-AX45)*0.01*-1)+(AV45+((AV45-AX45)*0.14*-1)+((AV45-AX45)*0.01*-1))*AL67*-1)</f>
        <v>0</v>
      </c>
      <c r="AX45" s="40">
        <f>($AN$4*O17)</f>
        <v>0</v>
      </c>
      <c r="AY45" s="40">
        <f>($AN$7*O17)</f>
        <v>0</v>
      </c>
      <c r="AZ45" s="62">
        <f>(L17+M17+N17+O17)</f>
        <v>0</v>
      </c>
      <c r="BA45" s="40">
        <f>(BA17+BA3+AZ31+AV45)</f>
        <v>0</v>
      </c>
      <c r="BB45" s="40">
        <f ca="1">(BB17+BB3+BA31+AW45)</f>
        <v>0</v>
      </c>
      <c r="BC45" s="40">
        <f>IF(BC17+BC3+BB31+AX45&gt;=$AN$6*2,$AN$6*2,BC17+BC3+BB31+AX45)</f>
        <v>0</v>
      </c>
      <c r="BD45" s="40">
        <f>(BD17+BD3+BC31+AY45)</f>
        <v>0</v>
      </c>
      <c r="BL45" s="40">
        <f ca="1">(AN35+AP30+AM49+AO49+AR30+AN63+AW16+AV2+AY2+AY16+AV30+BA44+BG2)</f>
        <v>13540.857518832065</v>
      </c>
      <c r="BM45" s="40">
        <f t="shared" ref="BM45:BM55" ca="1" si="91">(BL45*0.00759*-1)</f>
        <v>-102.77510856793538</v>
      </c>
      <c r="BN45" s="40">
        <f>(BI16)</f>
        <v>10008</v>
      </c>
      <c r="BO45" s="40">
        <f t="shared" ref="BO45:BO55" si="92">(BN45*0.00759*-1)</f>
        <v>-75.960720000000009</v>
      </c>
    </row>
    <row r="46" spans="29:68" ht="39.950000000000003" hidden="1" customHeight="1" x14ac:dyDescent="0.25">
      <c r="AC46" s="37" t="s">
        <v>0</v>
      </c>
      <c r="AD46" s="57" t="s">
        <v>0</v>
      </c>
      <c r="AE46" s="39">
        <v>44</v>
      </c>
      <c r="AF46" s="44">
        <v>22</v>
      </c>
      <c r="AG46" s="45">
        <v>0.46</v>
      </c>
      <c r="AH46" s="40">
        <f ca="1">(AH34+AH35+AH36+AH37+AH38+AH39+AH40+AH41+AH42+AH43+AH44+AH45)</f>
        <v>25020.570225984771</v>
      </c>
      <c r="AI46" s="40">
        <f ca="1">(AI34+AI35+AI36+AI37+AI38+AI39+AI40+AI41+AI42+AI43+AI44+AI45)</f>
        <v>-189.90612801522445</v>
      </c>
      <c r="AJ46" s="40">
        <f t="shared" ref="AJ46" ca="1" si="93">(AJ34+AJ35+AJ36+AJ37+AJ38+AJ39+AJ40+AJ41+AJ42+AJ43+AJ44+AJ45)</f>
        <v>49994</v>
      </c>
      <c r="AK46" s="40">
        <f t="shared" ref="AK46" ca="1" si="94">(AK34+AK35+AK36+AK37+AK38+AK39+AK40+AK41+AK42+AK43+AK44+AK45)</f>
        <v>-379.45445999999993</v>
      </c>
      <c r="AL46" s="40">
        <f t="shared" ref="AL46:AM46" ca="1" si="95">(AL34+AL35+AL36+AL37+AL38+AL39+AL40+AL41+AL42+AL43+AL44+AL45)</f>
        <v>-379.45445999999993</v>
      </c>
      <c r="AM46" s="40">
        <f t="shared" ca="1" si="95"/>
        <v>195110.57022598473</v>
      </c>
      <c r="AN46" s="40">
        <f t="shared" ref="AN46:AO46" si="96">(AN34+AN35+AN36+AN37+AN38+AN39+AN40+AN41+AN42+AN43+AN44+AN45)</f>
        <v>133779.79999999999</v>
      </c>
      <c r="AO46" s="40">
        <f t="shared" ca="1" si="96"/>
        <v>92342.269385348714</v>
      </c>
      <c r="AQ46" s="40">
        <f ca="1">(AP65)</f>
        <v>2085.0500000000002</v>
      </c>
      <c r="AR46" s="40">
        <f ca="1">IF($AN$11*G18&gt;=AN65,AN65,$AN$11*G18)</f>
        <v>2051.4</v>
      </c>
      <c r="AS46" s="40">
        <f t="shared" ca="1" si="88"/>
        <v>33.650000000000091</v>
      </c>
      <c r="AT46" s="40">
        <f t="shared" ca="1" si="89"/>
        <v>-4.7110000000000136</v>
      </c>
      <c r="AU46" s="40">
        <f t="shared" ca="1" si="90"/>
        <v>-0.33650000000000091</v>
      </c>
      <c r="AV46" s="40">
        <f>($AN$18*O18)</f>
        <v>0</v>
      </c>
      <c r="AW46" s="40">
        <f ca="1">(AV46+(AV46*0.00759*-1)+((AV46-AX46)*0.14*-1)+((AV46-AX46)*0.01*-1)+(AV46+((AV46-AX46)*0.14*-1)+((AV46-AX46)*0.01*-1))*AL68*-1)</f>
        <v>0</v>
      </c>
      <c r="AX46" s="40">
        <f>($AN$4*O18)</f>
        <v>0</v>
      </c>
      <c r="AY46" s="40">
        <f>($AN$7*O18)</f>
        <v>0</v>
      </c>
      <c r="AZ46" s="62">
        <f>(L18+M18+N18+O18)</f>
        <v>0</v>
      </c>
      <c r="BA46" s="40">
        <f>(BA18+BA4+AZ32+AV46)</f>
        <v>0</v>
      </c>
      <c r="BB46" s="40">
        <f ca="1">(BB18+BB4+BA32+AW46)</f>
        <v>0</v>
      </c>
      <c r="BC46" s="40">
        <f>IF(BC18+BC4+BB32+AX46&gt;=$AN$6*2,$AN$6*2,BC18+BC4+BB32+AX46)</f>
        <v>0</v>
      </c>
      <c r="BD46" s="40">
        <f>(BD18+BD4+BC32+AY46)</f>
        <v>0</v>
      </c>
      <c r="BL46" s="40">
        <f ca="1">(AN36+AP31+AM50+AO50+AR31+AN64+AW17+AV3+AY3+AY17+AV31+BA45+BG3)</f>
        <v>25636.017518832061</v>
      </c>
      <c r="BM46" s="40">
        <f t="shared" ca="1" si="91"/>
        <v>-194.57737296793536</v>
      </c>
      <c r="BN46" s="40">
        <f>(BI17)</f>
        <v>10008</v>
      </c>
      <c r="BO46" s="40">
        <f t="shared" si="92"/>
        <v>-75.960720000000009</v>
      </c>
    </row>
    <row r="47" spans="29:68" ht="39.950000000000003" hidden="1" customHeight="1" x14ac:dyDescent="0.25">
      <c r="AC47" s="37" t="s">
        <v>0</v>
      </c>
      <c r="AD47" s="57" t="s">
        <v>0</v>
      </c>
      <c r="AE47" s="39">
        <v>45</v>
      </c>
      <c r="AF47" s="44">
        <v>22.5</v>
      </c>
      <c r="AG47" s="45">
        <v>0.47</v>
      </c>
      <c r="AH47" s="40">
        <f ca="1">(AH46/12)</f>
        <v>2085.0475188320643</v>
      </c>
      <c r="AI47" s="40">
        <f ca="1">(AI46/12)</f>
        <v>-15.825510667935371</v>
      </c>
      <c r="AJ47" s="40">
        <f t="shared" ref="AJ47" ca="1" si="97">(AJ46/12)</f>
        <v>4166.166666666667</v>
      </c>
      <c r="AK47" s="40">
        <f t="shared" ref="AK47" ca="1" si="98">(AK46/12)</f>
        <v>-31.621204999999993</v>
      </c>
      <c r="AL47" s="40">
        <f t="shared" ref="AL47:AM47" ca="1" si="99">(AL46/12)</f>
        <v>-31.621204999999993</v>
      </c>
      <c r="AM47" s="40">
        <f t="shared" ca="1" si="99"/>
        <v>16259.214185498728</v>
      </c>
      <c r="AN47" s="40">
        <f t="shared" ref="AN47:AO47" si="100">(AN46/12)</f>
        <v>11148.316666666666</v>
      </c>
      <c r="AO47" s="40">
        <f t="shared" ca="1" si="100"/>
        <v>7695.1891154457262</v>
      </c>
      <c r="AQ47" s="40">
        <f ca="1">(AP66)</f>
        <v>2085.0500000000002</v>
      </c>
      <c r="AR47" s="40">
        <f ca="1">IF($AN$11*G19&gt;=AN66,AN66,$AN$11*G19)</f>
        <v>2051.4</v>
      </c>
      <c r="AS47" s="40">
        <f t="shared" ca="1" si="88"/>
        <v>33.650000000000091</v>
      </c>
      <c r="AT47" s="40">
        <f t="shared" ca="1" si="89"/>
        <v>-4.7110000000000136</v>
      </c>
      <c r="AU47" s="40">
        <f t="shared" ca="1" si="90"/>
        <v>-0.33650000000000091</v>
      </c>
      <c r="AV47" s="40">
        <f>($AN$18*O19)</f>
        <v>0</v>
      </c>
      <c r="AW47" s="40">
        <f ca="1">(AV47+(AV47*0.00759*-1)+((AV47-AX47)*0.14*-1)+((AV47-AX47)*0.01*-1)+(AV47+((AV47-AX47)*0.14*-1)+((AV47-AX47)*0.01*-1))*AL69*-1)</f>
        <v>0</v>
      </c>
      <c r="AX47" s="40">
        <f>($AN$4*O19)</f>
        <v>0</v>
      </c>
      <c r="AY47" s="40">
        <f>($AN$7*O19)</f>
        <v>0</v>
      </c>
      <c r="AZ47" s="62">
        <f>(L19+M19+N19+O19)</f>
        <v>0</v>
      </c>
      <c r="BA47" s="40">
        <f>(BA19+BA5+AZ33+AV47)</f>
        <v>0</v>
      </c>
      <c r="BB47" s="40">
        <f ca="1">(BB19+BB5+BA33+AW47)</f>
        <v>0</v>
      </c>
      <c r="BC47" s="40">
        <f>IF(BC19+BC5+BB33+AX47&gt;=$AN$6*2,$AN$6*2,BC19+BC5+BB33+AX47)</f>
        <v>0</v>
      </c>
      <c r="BD47" s="40">
        <f>(BD19+BD5+BC33+AY47)</f>
        <v>0</v>
      </c>
      <c r="BL47" s="40">
        <f ca="1">(AN37+AP32+AM51+AO51+AR32+AN65+AW18+AV4+AY4+AY18+AV32+BA46+BG4)</f>
        <v>14273.897518832064</v>
      </c>
      <c r="BM47" s="40">
        <f t="shared" ca="1" si="91"/>
        <v>-108.33888216793537</v>
      </c>
      <c r="BN47" s="40">
        <f>(BI18)</f>
        <v>10008</v>
      </c>
      <c r="BO47" s="40">
        <f t="shared" si="92"/>
        <v>-75.960720000000009</v>
      </c>
    </row>
    <row r="48" spans="29:68" ht="39.950000000000003" hidden="1" customHeight="1" x14ac:dyDescent="0.25">
      <c r="AC48" s="37" t="s">
        <v>0</v>
      </c>
      <c r="AD48" s="57" t="s">
        <v>0</v>
      </c>
      <c r="AE48" s="39">
        <v>46</v>
      </c>
      <c r="AF48" s="44">
        <v>23</v>
      </c>
      <c r="AG48" s="45">
        <v>0.48</v>
      </c>
      <c r="AH48" s="40">
        <f ca="1">IF(AM34-BP29&gt;=BH15*7.5,BH15*7.5,AM34-BP29)</f>
        <v>23584.617518832059</v>
      </c>
      <c r="AI48" s="40">
        <f ca="1">(AH48*0.14*-1)</f>
        <v>-3301.8464526364887</v>
      </c>
      <c r="AJ48" s="40">
        <f ca="1">(AH48*0.01*-1)</f>
        <v>-235.84617518832059</v>
      </c>
      <c r="AK48" s="40">
        <f ca="1">(BL44+AI48+AJ48)</f>
        <v>22098.324891007251</v>
      </c>
      <c r="AL48" s="40">
        <f ca="1">(AU29+AY29+BD43+BH1+BG15)</f>
        <v>2392.9243188320647</v>
      </c>
      <c r="AM48" s="40">
        <f>(AT1/8*2*D15)</f>
        <v>0</v>
      </c>
      <c r="AN48" s="40">
        <f ca="1">(AM48*AM79)</f>
        <v>0</v>
      </c>
      <c r="AO48" s="40">
        <f>(AT1/8*2*E15)</f>
        <v>0</v>
      </c>
      <c r="AP48" s="40">
        <f ca="1">(AO48*AM79)</f>
        <v>0</v>
      </c>
      <c r="AQ48" s="40">
        <f ca="1">(AP67)</f>
        <v>2085.0500000000002</v>
      </c>
      <c r="AR48" s="40">
        <f ca="1">IF($AN$11*G20&gt;=AN67,AN67,$AN$11*G20)</f>
        <v>2051.4</v>
      </c>
      <c r="AS48" s="40">
        <f t="shared" ca="1" si="88"/>
        <v>33.650000000000091</v>
      </c>
      <c r="AT48" s="40">
        <f t="shared" ca="1" si="89"/>
        <v>-4.7110000000000136</v>
      </c>
      <c r="AU48" s="40">
        <f t="shared" ca="1" si="90"/>
        <v>-0.33650000000000091</v>
      </c>
      <c r="AV48" s="40">
        <f>($AN$18*O20)</f>
        <v>0</v>
      </c>
      <c r="AW48" s="40">
        <f ca="1">(AV48+(AV48*0.00759*-1)+((AV48-AX48)*0.14*-1)+((AV48-AX48)*0.01*-1)+(AV48+((AV48-AX48)*0.14*-1)+((AV48-AX48)*0.01*-1))*AL70*-1)</f>
        <v>0</v>
      </c>
      <c r="AX48" s="40">
        <f>($AN$4*O20)</f>
        <v>0</v>
      </c>
      <c r="AY48" s="40">
        <f>($AN$7*O20)</f>
        <v>0</v>
      </c>
      <c r="AZ48" s="62">
        <f>(L20+M20+N20+O20)</f>
        <v>0</v>
      </c>
      <c r="BA48" s="40">
        <f>(BA20+BA6+AZ34+AV48)</f>
        <v>0</v>
      </c>
      <c r="BB48" s="40">
        <f ca="1">(BB20+BB6+BA34+AW48)</f>
        <v>0</v>
      </c>
      <c r="BC48" s="40">
        <f>IF(BC20+BC6+BB34+AX48&gt;=$AN$6*2,$AN$6*2,BC20+BC6+BB34+AX48)</f>
        <v>0</v>
      </c>
      <c r="BD48" s="40">
        <f>(BD20+BD6+BC34+AY48)</f>
        <v>0</v>
      </c>
      <c r="BL48" s="40">
        <f ca="1">(AN38+AP33+AM52+AO52+AR33+AN66+AW19+AV5+AY5+AY19+AV33+BA47+BG5)</f>
        <v>14640.417518832064</v>
      </c>
      <c r="BM48" s="40">
        <f t="shared" ca="1" si="91"/>
        <v>-111.12076896793538</v>
      </c>
      <c r="BN48" s="40">
        <f>(BI19)</f>
        <v>10008</v>
      </c>
      <c r="BO48" s="40">
        <f t="shared" si="92"/>
        <v>-75.960720000000009</v>
      </c>
    </row>
    <row r="49" spans="29:67" ht="39.950000000000003" hidden="1" customHeight="1" x14ac:dyDescent="0.25">
      <c r="AC49" s="37" t="s">
        <v>0</v>
      </c>
      <c r="AD49" s="57" t="s">
        <v>0</v>
      </c>
      <c r="AE49" s="39">
        <v>47</v>
      </c>
      <c r="AF49" s="44">
        <v>23.5</v>
      </c>
      <c r="AG49" s="45">
        <v>0.49</v>
      </c>
      <c r="AH49" s="40">
        <f ca="1">IF(AM35-BP30&gt;=BH16*7.5,BH16*7.5,AM35-BP30)</f>
        <v>11489.457518832065</v>
      </c>
      <c r="AI49" s="40">
        <f t="shared" ref="AI49:AI59" ca="1" si="101">(AH49*0.14*-1)</f>
        <v>-1608.5240526364892</v>
      </c>
      <c r="AJ49" s="40">
        <f t="shared" ref="AJ49:AJ59" ca="1" si="102">(AH49*0.01*-1)</f>
        <v>-114.89457518832066</v>
      </c>
      <c r="AK49" s="40">
        <f ca="1">(BL45+AI49+AJ49)</f>
        <v>11817.438891007256</v>
      </c>
      <c r="AL49" s="40">
        <f ca="1">(AU30+AY30+BD44+BH2+BG16)</f>
        <v>2392.9243188320647</v>
      </c>
      <c r="AM49" s="40">
        <f>(AT2/8*2*D16)</f>
        <v>0</v>
      </c>
      <c r="AN49" s="40">
        <f ca="1">(AM49*AM80)</f>
        <v>0</v>
      </c>
      <c r="AO49" s="40">
        <f>(AT2/8*2*E16)</f>
        <v>0</v>
      </c>
      <c r="AP49" s="40">
        <f ca="1">(AO49*AM80)</f>
        <v>0</v>
      </c>
      <c r="AQ49" s="40">
        <f ca="1">(AP68)</f>
        <v>2085.0500000000002</v>
      </c>
      <c r="AR49" s="40">
        <f ca="1">IF($AO$11*G21&gt;=AN68,AN68,$AO$11*G21)</f>
        <v>2051.4</v>
      </c>
      <c r="AS49" s="40">
        <f t="shared" ca="1" si="88"/>
        <v>33.650000000000091</v>
      </c>
      <c r="AT49" s="40">
        <f t="shared" ca="1" si="89"/>
        <v>-4.7110000000000136</v>
      </c>
      <c r="AU49" s="40">
        <f t="shared" ca="1" si="90"/>
        <v>-0.33650000000000091</v>
      </c>
      <c r="AV49" s="40">
        <f>($AO$18*O21)</f>
        <v>0</v>
      </c>
      <c r="AW49" s="40">
        <f ca="1">(AV49+(AV49*0.00759*-1)+((AV49-AX49)*0.14*-1)+((AV49-AX49)*0.01*-1)+(AV49+((AV49-AX49)*0.14*-1)+((AV49-AX49)*0.01*-1))*AL71*-1)</f>
        <v>0</v>
      </c>
      <c r="AX49" s="40">
        <f>($AO$4*O21)</f>
        <v>0</v>
      </c>
      <c r="AY49" s="40">
        <f>($AO$7*O21)</f>
        <v>0</v>
      </c>
      <c r="AZ49" s="62">
        <f>(L21+M21+N21+O21)</f>
        <v>0</v>
      </c>
      <c r="BA49" s="40">
        <f>(BA21+BA7+AZ35+AV49)</f>
        <v>0</v>
      </c>
      <c r="BB49" s="40">
        <f ca="1">(BB21+BB7+BA35+AW49)</f>
        <v>0</v>
      </c>
      <c r="BC49" s="40">
        <f>IF(BC21+BC7+BB35+AX49&gt;=$AO$6*2,$AO$6*2,BC21+BC7+BB35+AX49)</f>
        <v>0</v>
      </c>
      <c r="BD49" s="40">
        <f>(BD21+BD7+BC35+AY49)</f>
        <v>0</v>
      </c>
      <c r="BL49" s="40">
        <f ca="1">(AN39+AP34+AM53+AO53+AR34+AN67+AW20+AV6+AY6+AY20+AV34+BA48+BG6)</f>
        <v>14273.897518832064</v>
      </c>
      <c r="BM49" s="40">
        <f t="shared" ca="1" si="91"/>
        <v>-108.33888216793537</v>
      </c>
      <c r="BN49" s="40">
        <f>(BI20)</f>
        <v>10008</v>
      </c>
      <c r="BO49" s="40">
        <f t="shared" si="92"/>
        <v>-75.960720000000009</v>
      </c>
    </row>
    <row r="50" spans="29:67" ht="39.950000000000003" hidden="1" customHeight="1" x14ac:dyDescent="0.25">
      <c r="AC50" s="37" t="s">
        <v>0</v>
      </c>
      <c r="AD50" s="57" t="s">
        <v>0</v>
      </c>
      <c r="AE50" s="39">
        <v>48</v>
      </c>
      <c r="AF50" s="44">
        <v>24</v>
      </c>
      <c r="AG50" s="45">
        <v>0.5</v>
      </c>
      <c r="AH50" s="40">
        <f ca="1">IF(AM36-BP31&gt;=BH17*7.5,BH17*7.5,AM36-BP31)</f>
        <v>23584.617518832059</v>
      </c>
      <c r="AI50" s="40">
        <f t="shared" ca="1" si="101"/>
        <v>-3301.8464526364887</v>
      </c>
      <c r="AJ50" s="40">
        <f t="shared" ca="1" si="102"/>
        <v>-235.84617518832059</v>
      </c>
      <c r="AK50" s="40">
        <f ca="1">(BL46+AI50+AJ50)</f>
        <v>22098.324891007251</v>
      </c>
      <c r="AL50" s="40">
        <f ca="1">(AU31+AY31+BD45+BH3+BG17)</f>
        <v>2392.9243188320647</v>
      </c>
      <c r="AM50" s="40">
        <f>(AT3/8*2*D17)</f>
        <v>0</v>
      </c>
      <c r="AN50" s="40">
        <f ca="1">(AM50*AM81)</f>
        <v>0</v>
      </c>
      <c r="AO50" s="40">
        <f>(AT3/8*2*E17)</f>
        <v>0</v>
      </c>
      <c r="AP50" s="40">
        <f ca="1">(AO50*AM81)</f>
        <v>0</v>
      </c>
      <c r="AQ50" s="40">
        <f ca="1">(AP69)</f>
        <v>2085.0500000000002</v>
      </c>
      <c r="AR50" s="40">
        <f ca="1">IF($AO$11*G22&gt;=AN69,AN69,$AO$11*G22)</f>
        <v>2051.4</v>
      </c>
      <c r="AS50" s="40">
        <f t="shared" ca="1" si="88"/>
        <v>33.650000000000091</v>
      </c>
      <c r="AT50" s="40">
        <f t="shared" ca="1" si="89"/>
        <v>-4.7110000000000136</v>
      </c>
      <c r="AU50" s="40">
        <f t="shared" ca="1" si="90"/>
        <v>-0.33650000000000091</v>
      </c>
      <c r="AV50" s="40">
        <f>($AO$18*O22)</f>
        <v>0</v>
      </c>
      <c r="AW50" s="40">
        <f ca="1">(AV50+(AV50*0.00759*-1)+((AV50-AX50)*0.14*-1)+((AV50-AX50)*0.01*-1)+(AV50+((AV50-AX50)*0.14*-1)+((AV50-AX50)*0.01*-1))*AL72*-1)</f>
        <v>0</v>
      </c>
      <c r="AX50" s="40">
        <f>($AO$4*O22)</f>
        <v>0</v>
      </c>
      <c r="AY50" s="40">
        <f>($AO$7*O22)</f>
        <v>0</v>
      </c>
      <c r="AZ50" s="62">
        <f>(L22+M22+N22+O22)</f>
        <v>0</v>
      </c>
      <c r="BA50" s="40">
        <f>(BA22+BA8+AZ36+AV50)</f>
        <v>0</v>
      </c>
      <c r="BB50" s="40">
        <f ca="1">(BB22+BB8+BA36+AW50)</f>
        <v>0</v>
      </c>
      <c r="BC50" s="40">
        <f>IF(BC22+BC8+BB36+AX50&gt;=$AO$6*2,$AO$6*2,BC22+BC8+BB36+AX50)</f>
        <v>0</v>
      </c>
      <c r="BD50" s="40">
        <f>(BD22+BD8+BC36+AY50)</f>
        <v>0</v>
      </c>
      <c r="BL50" s="40">
        <f ca="1">(AN40+AP35+AM54+AO54+AR35+AN68+AW21+AV7+AY7+AY21+AV35+BA49+BG7)</f>
        <v>14640.417518832064</v>
      </c>
      <c r="BM50" s="40">
        <f t="shared" ca="1" si="91"/>
        <v>-111.12076896793538</v>
      </c>
      <c r="BN50" s="40">
        <f>(BI21)</f>
        <v>10008</v>
      </c>
      <c r="BO50" s="40">
        <f t="shared" si="92"/>
        <v>-75.960720000000009</v>
      </c>
    </row>
    <row r="51" spans="29:67" ht="39.950000000000003" hidden="1" customHeight="1" x14ac:dyDescent="0.25">
      <c r="AE51" s="39">
        <v>49</v>
      </c>
      <c r="AF51" s="44">
        <v>24.5</v>
      </c>
      <c r="AG51" s="63" t="s">
        <v>0</v>
      </c>
      <c r="AH51" s="40">
        <f ca="1">IF(AM37-BP32&gt;=BH18*7.5,BH18*7.5,AM37-BP32)</f>
        <v>12222.497518832064</v>
      </c>
      <c r="AI51" s="40">
        <f t="shared" ca="1" si="101"/>
        <v>-1711.1496526364892</v>
      </c>
      <c r="AJ51" s="40">
        <f t="shared" ca="1" si="102"/>
        <v>-122.22497518832064</v>
      </c>
      <c r="AK51" s="40">
        <f ca="1">(BL47+AI51+AJ51)</f>
        <v>12440.522891007253</v>
      </c>
      <c r="AL51" s="40">
        <f ca="1">(AU32+AY32+BD46+BH4+BG18)</f>
        <v>2392.9243188320647</v>
      </c>
      <c r="AM51" s="40">
        <f>(AT4/8*2*D18)</f>
        <v>0</v>
      </c>
      <c r="AN51" s="40">
        <f ca="1">(AM51*AM82)</f>
        <v>0</v>
      </c>
      <c r="AO51" s="40">
        <f>(AT4/8*2*E18)</f>
        <v>0</v>
      </c>
      <c r="AP51" s="40">
        <f ca="1">(AO51*AM82)</f>
        <v>0</v>
      </c>
      <c r="AQ51" s="40">
        <f ca="1">(AP70)</f>
        <v>2085.0500000000002</v>
      </c>
      <c r="AR51" s="40">
        <f ca="1">IF($AO$11*G23&gt;=AN70,AN70,$AO$11*G23)</f>
        <v>2051.4</v>
      </c>
      <c r="AS51" s="40">
        <f t="shared" ca="1" si="88"/>
        <v>33.650000000000091</v>
      </c>
      <c r="AT51" s="40">
        <f t="shared" ca="1" si="89"/>
        <v>-4.7110000000000136</v>
      </c>
      <c r="AU51" s="40">
        <f t="shared" ca="1" si="90"/>
        <v>-0.33650000000000091</v>
      </c>
      <c r="AV51" s="40">
        <f>($AO$18*O23)</f>
        <v>0</v>
      </c>
      <c r="AW51" s="40">
        <f ca="1">(AV51+(AV51*0.00759*-1)+((AV51-AX51)*0.14*-1)+((AV51-AX51)*0.01*-1)+(AV51+((AV51-AX51)*0.14*-1)+((AV51-AX51)*0.01*-1))*AL73*-1)</f>
        <v>0</v>
      </c>
      <c r="AX51" s="40">
        <f>($AO$4*O23)</f>
        <v>0</v>
      </c>
      <c r="AY51" s="40">
        <f>($AO$7*O23)</f>
        <v>0</v>
      </c>
      <c r="AZ51" s="62">
        <f>(L23+M23+N23+O23)</f>
        <v>0</v>
      </c>
      <c r="BA51" s="40">
        <f>(BA23+BA9+AZ37+AV51)</f>
        <v>0</v>
      </c>
      <c r="BB51" s="40">
        <f ca="1">(BB23+BB9+BA37+AW51)</f>
        <v>0</v>
      </c>
      <c r="BC51" s="40">
        <f>IF(BC23+BC9+BB37+AX51&gt;=$AO$6*2,$AO$6*2,BC23+BC9+BB37+AX51)</f>
        <v>0</v>
      </c>
      <c r="BD51" s="40">
        <f>(BD23+BD9+BC37+AY51)</f>
        <v>0</v>
      </c>
      <c r="BL51" s="40">
        <f ca="1">(AN41+AP36+AM55+AO55+AR36+AN69+AW22+AV8+AY8+AY22+AV36+BA50+BG8)</f>
        <v>14640.417518832064</v>
      </c>
      <c r="BM51" s="40">
        <f t="shared" ca="1" si="91"/>
        <v>-111.12076896793538</v>
      </c>
      <c r="BN51" s="40">
        <f>(BI22)</f>
        <v>10008</v>
      </c>
      <c r="BO51" s="40">
        <f t="shared" si="92"/>
        <v>-75.960720000000009</v>
      </c>
    </row>
    <row r="52" spans="29:67" ht="39.950000000000003" hidden="1" customHeight="1" x14ac:dyDescent="0.25">
      <c r="AE52" s="39">
        <v>50</v>
      </c>
      <c r="AF52" s="44">
        <v>25</v>
      </c>
      <c r="AG52" s="63" t="s">
        <v>0</v>
      </c>
      <c r="AH52" s="40">
        <f ca="1">IF(AM38-BP33&gt;=BH19*7.5,BH19*7.5,AM38-BP33)</f>
        <v>12589.017518832065</v>
      </c>
      <c r="AI52" s="40">
        <f t="shared" ca="1" si="101"/>
        <v>-1762.4624526364892</v>
      </c>
      <c r="AJ52" s="40">
        <f t="shared" ca="1" si="102"/>
        <v>-125.89017518832065</v>
      </c>
      <c r="AK52" s="40">
        <f ca="1">(BL48+AI52+AJ52)</f>
        <v>12752.064891007254</v>
      </c>
      <c r="AL52" s="40">
        <f ca="1">(AU33+AY33+BD47+BH5+BG19)</f>
        <v>2392.9243188320647</v>
      </c>
      <c r="AM52" s="40">
        <f>(AT5/8*2*D19)</f>
        <v>0</v>
      </c>
      <c r="AN52" s="40">
        <f ca="1">(AM52*AM83)</f>
        <v>0</v>
      </c>
      <c r="AO52" s="40">
        <f>(AT5/8*2*E19)</f>
        <v>0</v>
      </c>
      <c r="AP52" s="40">
        <f ca="1">(AO52*AM83)</f>
        <v>0</v>
      </c>
      <c r="AQ52" s="40">
        <f ca="1">(AP71)</f>
        <v>2085.0500000000002</v>
      </c>
      <c r="AR52" s="40">
        <f ca="1">IF($AO$11*G24&gt;=AN71,AN71,$AO$11*G24)</f>
        <v>2051.4</v>
      </c>
      <c r="AS52" s="40">
        <f t="shared" ca="1" si="88"/>
        <v>33.650000000000091</v>
      </c>
      <c r="AT52" s="40">
        <f t="shared" ca="1" si="89"/>
        <v>-4.7110000000000136</v>
      </c>
      <c r="AU52" s="40">
        <f t="shared" ca="1" si="90"/>
        <v>-0.33650000000000091</v>
      </c>
      <c r="AV52" s="40">
        <f>($AO$18*O24)</f>
        <v>0</v>
      </c>
      <c r="AW52" s="40">
        <f ca="1">(AV52+(AV52*0.00759*-1)+((AV52-AX52)*0.14*-1)+((AV52-AX52)*0.01*-1)+(AV52+((AV52-AX52)*0.14*-1)+((AV52-AX52)*0.01*-1))*AL74*-1)</f>
        <v>0</v>
      </c>
      <c r="AX52" s="40">
        <f>($AO$4*O24)</f>
        <v>0</v>
      </c>
      <c r="AY52" s="40">
        <f>($AO$7*O24)</f>
        <v>0</v>
      </c>
      <c r="AZ52" s="62">
        <f>(L24+M24+N24+O24)</f>
        <v>0</v>
      </c>
      <c r="BA52" s="40">
        <f>(BA24+BA10+AZ38+AV52)</f>
        <v>0</v>
      </c>
      <c r="BB52" s="40">
        <f ca="1">(BB24+BB10+BA38+AW52)</f>
        <v>0</v>
      </c>
      <c r="BC52" s="40">
        <f>IF(BC24+BC10+BB38+AX52&gt;=$AO$6*2,$AO$6*2,BC24+BC10+BB38+AX52)</f>
        <v>0</v>
      </c>
      <c r="BD52" s="40">
        <f>(BD24+BD10+BC38+AY52)</f>
        <v>0</v>
      </c>
      <c r="BL52" s="40">
        <f ca="1">(AN42+AP37+AM56+AO56+AR37+AN70+AW23+AV9+AY9+AY23+AV37+BA51+BG9)</f>
        <v>14273.897518832064</v>
      </c>
      <c r="BM52" s="40">
        <f t="shared" ca="1" si="91"/>
        <v>-108.33888216793537</v>
      </c>
      <c r="BN52" s="40">
        <f>(BI23)</f>
        <v>10008</v>
      </c>
      <c r="BO52" s="40">
        <f t="shared" si="92"/>
        <v>-75.960720000000009</v>
      </c>
    </row>
    <row r="53" spans="29:67" ht="39.950000000000003" hidden="1" customHeight="1" x14ac:dyDescent="0.25">
      <c r="AE53" s="39">
        <v>51</v>
      </c>
      <c r="AF53" s="44">
        <v>25.5</v>
      </c>
      <c r="AG53" s="63" t="s">
        <v>0</v>
      </c>
      <c r="AH53" s="40">
        <f ca="1">IF(AM39-BP34&gt;=BH20*7.5,BH20*7.5,AM39-BP34)</f>
        <v>12222.497518832064</v>
      </c>
      <c r="AI53" s="40">
        <f t="shared" ca="1" si="101"/>
        <v>-1711.1496526364892</v>
      </c>
      <c r="AJ53" s="40">
        <f t="shared" ca="1" si="102"/>
        <v>-122.22497518832064</v>
      </c>
      <c r="AK53" s="40">
        <f ca="1">(BL49+AI53+AJ53)</f>
        <v>12440.522891007253</v>
      </c>
      <c r="AL53" s="40">
        <f ca="1">(AU34+AY34+BD48+BH6+BG20)</f>
        <v>2392.9243188320647</v>
      </c>
      <c r="AM53" s="40">
        <f>(AT6/8*2*D20)</f>
        <v>0</v>
      </c>
      <c r="AN53" s="40">
        <f ca="1">(AM53*AM84)</f>
        <v>0</v>
      </c>
      <c r="AO53" s="40">
        <f>(AT6/8*2*E20)</f>
        <v>0</v>
      </c>
      <c r="AP53" s="40">
        <f ca="1">(AO53*AM84)</f>
        <v>0</v>
      </c>
      <c r="AQ53" s="40">
        <f ca="1">(AP72)</f>
        <v>2085.0500000000002</v>
      </c>
      <c r="AR53" s="40">
        <f ca="1">IF($AO$11*G25&gt;=AN72,AN72,$AO$11*G25)</f>
        <v>2051.4</v>
      </c>
      <c r="AS53" s="40">
        <f t="shared" ca="1" si="88"/>
        <v>33.650000000000091</v>
      </c>
      <c r="AT53" s="40">
        <f t="shared" ca="1" si="89"/>
        <v>-4.7110000000000136</v>
      </c>
      <c r="AU53" s="40">
        <f t="shared" ca="1" si="90"/>
        <v>-0.33650000000000091</v>
      </c>
      <c r="AV53" s="40">
        <f>($AO$18*O25)</f>
        <v>0</v>
      </c>
      <c r="AW53" s="40">
        <f ca="1">(AV53+(AV53*0.00759*-1)+((AV53-AX53)*0.14*-1)+((AV53-AX53)*0.01*-1)+(AV53+((AV53-AX53)*0.14*-1)+((AV53-AX53)*0.01*-1))*AL75*-1)</f>
        <v>0</v>
      </c>
      <c r="AX53" s="40">
        <f>($AO$4*O25)</f>
        <v>0</v>
      </c>
      <c r="AY53" s="40">
        <f>($AO$7*O25)</f>
        <v>0</v>
      </c>
      <c r="AZ53" s="62">
        <f>(L25+M25+N25+O25)</f>
        <v>0</v>
      </c>
      <c r="BA53" s="40">
        <f>(BA25+BA11+AZ39+AV53)</f>
        <v>0</v>
      </c>
      <c r="BB53" s="40">
        <f ca="1">(BB25+BB11+BA39+AW53)</f>
        <v>0</v>
      </c>
      <c r="BC53" s="40">
        <f>IF(BC25+BC11+BB39+AX53&gt;=$AO$6*2,$AO$6*2,BC25+BC11+BB39+AX53)</f>
        <v>0</v>
      </c>
      <c r="BD53" s="40">
        <f>(BD25+BD11+BC39+AY53)</f>
        <v>0</v>
      </c>
      <c r="BL53" s="40">
        <f ca="1">(AN43+AP38+AM57+AO57+AR38+AN71+AW24+AV10+AY10+AY24+AV38+BA52+BG10)</f>
        <v>14640.417518832064</v>
      </c>
      <c r="BM53" s="40">
        <f t="shared" ca="1" si="91"/>
        <v>-111.12076896793538</v>
      </c>
      <c r="BN53" s="40">
        <f>(BI24)</f>
        <v>10008</v>
      </c>
      <c r="BO53" s="40">
        <f t="shared" si="92"/>
        <v>-75.960720000000009</v>
      </c>
    </row>
    <row r="54" spans="29:67" ht="39.950000000000003" hidden="1" customHeight="1" x14ac:dyDescent="0.25">
      <c r="AE54" s="39">
        <v>52</v>
      </c>
      <c r="AF54" s="44">
        <v>26</v>
      </c>
      <c r="AG54" s="63" t="s">
        <v>0</v>
      </c>
      <c r="AH54" s="40">
        <f ca="1">IF(AM40-BP35&gt;=BH21*7.5,BH21*7.5,AM40-BP35)</f>
        <v>12589.017518832065</v>
      </c>
      <c r="AI54" s="40">
        <f t="shared" ca="1" si="101"/>
        <v>-1762.4624526364892</v>
      </c>
      <c r="AJ54" s="40">
        <f t="shared" ca="1" si="102"/>
        <v>-125.89017518832065</v>
      </c>
      <c r="AK54" s="40">
        <f ca="1">(BL50+AI54+AJ54)</f>
        <v>12752.064891007254</v>
      </c>
      <c r="AL54" s="40">
        <f ca="1">(AU35+AY35+BD49+BH7+BG21)</f>
        <v>2392.9243188320647</v>
      </c>
      <c r="AM54" s="40">
        <f>(AT7/8*2*D21)</f>
        <v>0</v>
      </c>
      <c r="AN54" s="40">
        <f ca="1">(AM54*AM85)</f>
        <v>0</v>
      </c>
      <c r="AO54" s="40">
        <f>(AT7/8*2*E21)</f>
        <v>0</v>
      </c>
      <c r="AP54" s="40">
        <f ca="1">(AO54*AM85)</f>
        <v>0</v>
      </c>
      <c r="AQ54" s="40">
        <f ca="1">(AP73)</f>
        <v>2085.0500000000002</v>
      </c>
      <c r="AR54" s="40">
        <f ca="1">IF($AO$11*G26&gt;=AN73,AN73,$AO$11*G26)</f>
        <v>2051.4</v>
      </c>
      <c r="AS54" s="40">
        <f t="shared" ca="1" si="88"/>
        <v>33.650000000000091</v>
      </c>
      <c r="AT54" s="40">
        <f t="shared" ca="1" si="89"/>
        <v>-4.7110000000000136</v>
      </c>
      <c r="AU54" s="40">
        <f t="shared" ca="1" si="90"/>
        <v>-0.33650000000000091</v>
      </c>
      <c r="AV54" s="40">
        <f>($AO$18*O26)</f>
        <v>0</v>
      </c>
      <c r="AW54" s="40">
        <f ca="1">(AV54+(AV54*0.00759*-1)+((AV54-AX54)*0.14*-1)+((AV54-AX54)*0.01*-1)+(AV54+((AV54-AX54)*0.14*-1)+((AV54-AX54)*0.01*-1))*AL76*-1)</f>
        <v>0</v>
      </c>
      <c r="AX54" s="40">
        <f>($AO$4*O26)</f>
        <v>0</v>
      </c>
      <c r="AY54" s="40">
        <f>($AO$7*O26)</f>
        <v>0</v>
      </c>
      <c r="AZ54" s="62">
        <f>(L26+M26+N26+O26)</f>
        <v>0</v>
      </c>
      <c r="BA54" s="40">
        <f>(BA26+BA12+AZ40+AV54)</f>
        <v>0</v>
      </c>
      <c r="BB54" s="40">
        <f ca="1">(BB26+BB12+BA40+AW54)</f>
        <v>0</v>
      </c>
      <c r="BC54" s="40">
        <f>IF(BC26+BC12+BB40+AX54&gt;=$AO$6*2,$AO$6*2,BC26+BC12+BB40+AX54)</f>
        <v>0</v>
      </c>
      <c r="BD54" s="40">
        <f>(BD26+BD12+BC40+AY54)</f>
        <v>0</v>
      </c>
      <c r="BL54" s="40">
        <f ca="1">(AN44+AP39+AM58+AO58+AR39+AN72+AW25+AV11+AY11+AY25+AV39+BA53+BG11)</f>
        <v>14273.897518832064</v>
      </c>
      <c r="BM54" s="40">
        <f t="shared" ca="1" si="91"/>
        <v>-108.33888216793537</v>
      </c>
      <c r="BN54" s="40">
        <f>(BI25)</f>
        <v>10008</v>
      </c>
      <c r="BO54" s="40">
        <f t="shared" si="92"/>
        <v>-75.960720000000009</v>
      </c>
    </row>
    <row r="55" spans="29:67" ht="39.950000000000003" hidden="1" customHeight="1" x14ac:dyDescent="0.25">
      <c r="AE55" s="39">
        <v>53</v>
      </c>
      <c r="AF55" s="44">
        <v>26.5</v>
      </c>
      <c r="AG55" s="63" t="s">
        <v>0</v>
      </c>
      <c r="AH55" s="40">
        <f ca="1">IF(AM41-BP36&gt;=BH22*7.5,BH22*7.5,AM41-BP36)</f>
        <v>12589.017518832065</v>
      </c>
      <c r="AI55" s="40">
        <f t="shared" ca="1" si="101"/>
        <v>-1762.4624526364892</v>
      </c>
      <c r="AJ55" s="40">
        <f t="shared" ca="1" si="102"/>
        <v>-125.89017518832065</v>
      </c>
      <c r="AK55" s="40">
        <f ca="1">(BL51+AI55+AJ55)</f>
        <v>12752.064891007254</v>
      </c>
      <c r="AL55" s="40">
        <f ca="1">(AU36+AY36+BD50+BH8+BG22)</f>
        <v>2392.9243188320647</v>
      </c>
      <c r="AM55" s="40">
        <f>(AT8/8*2*D22)</f>
        <v>0</v>
      </c>
      <c r="AN55" s="40">
        <f ca="1">(AM55*AM86)</f>
        <v>0</v>
      </c>
      <c r="AO55" s="40">
        <f>(AT8/8*2*E22)</f>
        <v>0</v>
      </c>
      <c r="AP55" s="40">
        <f ca="1">(AO55*AM86)</f>
        <v>0</v>
      </c>
      <c r="AQ55" s="40">
        <f t="shared" ref="AQ55:AU55" ca="1" si="103">(AQ43+AQ44+AQ45+AQ46+AQ47+AQ48+AQ49+AQ50+AQ51+AQ52+AQ53+AQ54)</f>
        <v>25020.599999999995</v>
      </c>
      <c r="AR55" s="40">
        <f t="shared" ca="1" si="103"/>
        <v>24616.800000000007</v>
      </c>
      <c r="AS55" s="40">
        <f t="shared" ca="1" si="103"/>
        <v>403.80000000000109</v>
      </c>
      <c r="AT55" s="40">
        <f t="shared" ca="1" si="103"/>
        <v>-56.53200000000016</v>
      </c>
      <c r="AU55" s="40">
        <f t="shared" ca="1" si="103"/>
        <v>-4.0380000000000109</v>
      </c>
      <c r="AV55" s="40">
        <f t="shared" ref="AV55:AY55" si="104">(AV43+AV44+AV45+AV46+AV47+AV48+AV49+AV50+AV51+AV52+AV53+AV54)</f>
        <v>0</v>
      </c>
      <c r="AW55" s="40">
        <f t="shared" ca="1" si="104"/>
        <v>0</v>
      </c>
      <c r="AX55" s="40">
        <f t="shared" si="104"/>
        <v>0</v>
      </c>
      <c r="AY55" s="40">
        <f t="shared" si="104"/>
        <v>0</v>
      </c>
      <c r="AZ55" s="48" t="s">
        <v>0</v>
      </c>
      <c r="BA55" s="40">
        <f t="shared" ref="BA55:BD55" si="105">(BA43+BA44+BA45+BA46+BA47+BA48+BA49+BA50+BA51+BA52+BA53+BA54)</f>
        <v>0</v>
      </c>
      <c r="BB55" s="40">
        <f t="shared" ca="1" si="105"/>
        <v>0</v>
      </c>
      <c r="BC55" s="40">
        <f t="shared" si="105"/>
        <v>0</v>
      </c>
      <c r="BD55" s="40">
        <f t="shared" si="105"/>
        <v>0</v>
      </c>
      <c r="BL55" s="40">
        <f ca="1">(AN45+AP40+AM59+AO59+AR40+AN73+AW26+AV12+AY12+AY26+AV40+BA54+BG12)</f>
        <v>14640.417518832064</v>
      </c>
      <c r="BM55" s="40">
        <f t="shared" ca="1" si="91"/>
        <v>-111.12076896793538</v>
      </c>
      <c r="BN55" s="40">
        <f>(BI26)</f>
        <v>10008</v>
      </c>
      <c r="BO55" s="40">
        <f t="shared" si="92"/>
        <v>-75.960720000000009</v>
      </c>
    </row>
    <row r="56" spans="29:67" ht="39.950000000000003" hidden="1" customHeight="1" x14ac:dyDescent="0.25">
      <c r="AE56" s="39">
        <v>54</v>
      </c>
      <c r="AF56" s="44">
        <v>27</v>
      </c>
      <c r="AG56" s="63" t="s">
        <v>0</v>
      </c>
      <c r="AH56" s="40">
        <f ca="1">IF(AM42-BP37&gt;=BH23*7.5,BH23*7.5,AM42-BP37)</f>
        <v>12222.497518832064</v>
      </c>
      <c r="AI56" s="40">
        <f t="shared" ca="1" si="101"/>
        <v>-1711.1496526364892</v>
      </c>
      <c r="AJ56" s="40">
        <f t="shared" ca="1" si="102"/>
        <v>-122.22497518832064</v>
      </c>
      <c r="AK56" s="40">
        <f ca="1">(BL52+AI56+AJ56)</f>
        <v>12440.522891007253</v>
      </c>
      <c r="AL56" s="40">
        <f ca="1">(AU37+AY37+BD51+BH9+BG23)</f>
        <v>2392.9243188320647</v>
      </c>
      <c r="AM56" s="40">
        <f>(AT9/8*2*D23)</f>
        <v>0</v>
      </c>
      <c r="AN56" s="40">
        <f ca="1">(AM56*AM87)</f>
        <v>0</v>
      </c>
      <c r="AO56" s="40">
        <f>(AT9/8*2*E23)</f>
        <v>0</v>
      </c>
      <c r="AP56" s="40">
        <f ca="1">(AO56*AM87)</f>
        <v>0</v>
      </c>
      <c r="AQ56" s="40">
        <f t="shared" ref="AQ56:AU56" ca="1" si="106">(AQ55/12)</f>
        <v>2085.0499999999997</v>
      </c>
      <c r="AR56" s="40">
        <f t="shared" ca="1" si="106"/>
        <v>2051.4000000000005</v>
      </c>
      <c r="AS56" s="40">
        <f t="shared" ca="1" si="106"/>
        <v>33.650000000000091</v>
      </c>
      <c r="AT56" s="40">
        <f t="shared" ca="1" si="106"/>
        <v>-4.7110000000000136</v>
      </c>
      <c r="AU56" s="40">
        <f t="shared" ca="1" si="106"/>
        <v>-0.33650000000000091</v>
      </c>
      <c r="AV56" s="40">
        <f t="shared" ref="AV56:AY56" si="107">(AV55/12)</f>
        <v>0</v>
      </c>
      <c r="AW56" s="40">
        <f t="shared" ca="1" si="107"/>
        <v>0</v>
      </c>
      <c r="AX56" s="40">
        <f t="shared" si="107"/>
        <v>0</v>
      </c>
      <c r="AY56" s="40">
        <f t="shared" si="107"/>
        <v>0</v>
      </c>
      <c r="AZ56" s="48" t="s">
        <v>0</v>
      </c>
      <c r="BA56" s="40">
        <f t="shared" ref="BA56:BD56" si="108">(BA55/12)</f>
        <v>0</v>
      </c>
      <c r="BB56" s="40">
        <f t="shared" ca="1" si="108"/>
        <v>0</v>
      </c>
      <c r="BC56" s="40">
        <f t="shared" si="108"/>
        <v>0</v>
      </c>
      <c r="BD56" s="40">
        <f t="shared" si="108"/>
        <v>0</v>
      </c>
      <c r="BL56" s="40">
        <f t="shared" ref="BL56" ca="1" si="109">(BL44+BL45+BL46+BL47+BL48+BL49+BL50+BL51+BL52+BL53+BL54+BL55)</f>
        <v>195110.57022598473</v>
      </c>
      <c r="BM56" s="40">
        <f t="shared" ref="BM56" ca="1" si="110">(BM44+BM45+BM46+BM47+BM48+BM49+BM50+BM51+BM52+BM53+BM54+BM55)</f>
        <v>-1480.8892280152249</v>
      </c>
      <c r="BN56" s="40">
        <f t="shared" ref="BN56" si="111">(BN44+BN45+BN46+BN47+BN48+BN49+BN50+BN51+BN52+BN53+BN54+BN55)</f>
        <v>120096</v>
      </c>
      <c r="BO56" s="40">
        <f>(BO44+BO45+BO46+BO47+BO48+BO49+BO50+BO51+BO52+BO53+BO54+BO55)</f>
        <v>-911.52864000000034</v>
      </c>
    </row>
    <row r="57" spans="29:67" ht="39.950000000000003" hidden="1" customHeight="1" x14ac:dyDescent="0.25">
      <c r="AE57" s="39">
        <v>55</v>
      </c>
      <c r="AF57" s="44">
        <v>27.5</v>
      </c>
      <c r="AG57" s="63" t="s">
        <v>0</v>
      </c>
      <c r="AH57" s="40">
        <f ca="1">IF(AM43-BP38&gt;=BH24*7.5,BH24*7.5,AM43-BP38)</f>
        <v>12589.017518832065</v>
      </c>
      <c r="AI57" s="40">
        <f t="shared" ca="1" si="101"/>
        <v>-1762.4624526364892</v>
      </c>
      <c r="AJ57" s="40">
        <f t="shared" ca="1" si="102"/>
        <v>-125.89017518832065</v>
      </c>
      <c r="AK57" s="40">
        <f ca="1">(BL53+AI57+AJ57)</f>
        <v>12752.064891007254</v>
      </c>
      <c r="AL57" s="40">
        <f ca="1">(AU38+AY38+BD52+BH10+BG24)</f>
        <v>2392.9243188320647</v>
      </c>
      <c r="AM57" s="40">
        <f>(AT10/8*2*D24)</f>
        <v>0</v>
      </c>
      <c r="AN57" s="40">
        <f ca="1">(AM57*AM88)</f>
        <v>0</v>
      </c>
      <c r="AO57" s="40">
        <f>(AT10/8*2*E24)</f>
        <v>0</v>
      </c>
      <c r="AP57" s="40">
        <f ca="1">(AO57*AM88)</f>
        <v>0</v>
      </c>
      <c r="BL57" s="40">
        <f t="shared" ref="BL57" ca="1" si="112">(BL56/12)</f>
        <v>16259.214185498728</v>
      </c>
      <c r="BM57" s="40">
        <f t="shared" ref="BM57" ca="1" si="113">(BM56/12)</f>
        <v>-123.40743566793542</v>
      </c>
      <c r="BN57" s="40">
        <f t="shared" ref="BN57" si="114">(BN56/12)</f>
        <v>10008</v>
      </c>
      <c r="BO57" s="40">
        <f>(BO56/12)</f>
        <v>-75.960720000000023</v>
      </c>
    </row>
    <row r="58" spans="29:67" ht="39.950000000000003" hidden="1" customHeight="1" x14ac:dyDescent="0.25">
      <c r="AE58" s="39">
        <v>56</v>
      </c>
      <c r="AF58" s="44">
        <v>28</v>
      </c>
      <c r="AG58" s="63" t="s">
        <v>0</v>
      </c>
      <c r="AH58" s="40">
        <f ca="1">IF(AM44-BP39&gt;=BH25*7.5,BH25*7.5,AM44-BP39)</f>
        <v>12222.497518832064</v>
      </c>
      <c r="AI58" s="40">
        <f t="shared" ca="1" si="101"/>
        <v>-1711.1496526364892</v>
      </c>
      <c r="AJ58" s="40">
        <f t="shared" ca="1" si="102"/>
        <v>-122.22497518832064</v>
      </c>
      <c r="AK58" s="40">
        <f ca="1">(BL54+AI58+AJ58)</f>
        <v>12440.522891007253</v>
      </c>
      <c r="AL58" s="40">
        <f ca="1">(AU39+AY39+BD53+BH11+BG25)</f>
        <v>2392.9243188320647</v>
      </c>
      <c r="AM58" s="40">
        <f>(AT11/8*2*D25)</f>
        <v>0</v>
      </c>
      <c r="AN58" s="40">
        <f ca="1">(AM58*AM89)</f>
        <v>0</v>
      </c>
      <c r="AO58" s="40">
        <f>(AT11/8*2*E25)</f>
        <v>0</v>
      </c>
      <c r="AP58" s="40">
        <f ca="1">(AO58*AM89)</f>
        <v>0</v>
      </c>
    </row>
    <row r="59" spans="29:67" ht="39.950000000000003" hidden="1" customHeight="1" x14ac:dyDescent="0.25">
      <c r="AE59" s="39">
        <v>57</v>
      </c>
      <c r="AF59" s="44">
        <v>28.5</v>
      </c>
      <c r="AG59" s="63" t="s">
        <v>0</v>
      </c>
      <c r="AH59" s="40">
        <f ca="1">IF(AM45-BP40&gt;=BH26*7.5,BH26*7.5,AM45-BP40)</f>
        <v>12589.017518832065</v>
      </c>
      <c r="AI59" s="40">
        <f t="shared" ca="1" si="101"/>
        <v>-1762.4624526364892</v>
      </c>
      <c r="AJ59" s="40">
        <f t="shared" ca="1" si="102"/>
        <v>-125.89017518832065</v>
      </c>
      <c r="AK59" s="40">
        <f ca="1">(BL55+AI59+AJ59)</f>
        <v>12752.064891007254</v>
      </c>
      <c r="AL59" s="40">
        <f ca="1">(AU40+AY40+BD54+BH12+BG26)</f>
        <v>2392.9243188320647</v>
      </c>
      <c r="AM59" s="40">
        <f>(AT12/8*2*D26)</f>
        <v>0</v>
      </c>
      <c r="AN59" s="40">
        <f ca="1">(AM59*AM90)</f>
        <v>0</v>
      </c>
      <c r="AO59" s="40">
        <f>(AT12/8*2*E26)</f>
        <v>0</v>
      </c>
      <c r="AP59" s="40">
        <f ca="1">(AO59*AM90)</f>
        <v>0</v>
      </c>
    </row>
    <row r="60" spans="29:67" ht="39.950000000000003" hidden="1" customHeight="1" x14ac:dyDescent="0.25">
      <c r="AE60" s="39">
        <v>58</v>
      </c>
      <c r="AF60" s="44">
        <v>29</v>
      </c>
      <c r="AG60" s="63" t="s">
        <v>0</v>
      </c>
      <c r="AH60" s="40">
        <f t="shared" ref="AH60" ca="1" si="115">(AH48+AH49+AH50+AH51+AH52+AH53+AH54+AH55+AH56+AH57+AH58+AH59)</f>
        <v>170493.77022598474</v>
      </c>
      <c r="AI60" s="40">
        <f t="shared" ref="AI60" ca="1" si="116">(AI48+AI49+AI50+AI51+AI52+AI53+AI54+AI55+AI56+AI57+AI58+AI59)</f>
        <v>-23869.127831637874</v>
      </c>
      <c r="AJ60" s="40">
        <f t="shared" ref="AJ60:AK60" ca="1" si="117">(AJ48+AJ49+AJ50+AJ51+AJ52+AJ53+AJ54+AJ55+AJ56+AJ57+AJ58+AJ59)</f>
        <v>-1704.9377022598478</v>
      </c>
      <c r="AK60" s="40">
        <f t="shared" ca="1" si="117"/>
        <v>169536.50469208704</v>
      </c>
      <c r="AL60" s="40">
        <f t="shared" ref="AL60" ca="1" si="118">(AL48+AL49+AL50+AL51+AL52+AL53+AL54+AL55+AL56+AL57+AL58+AL59)</f>
        <v>28715.091825984779</v>
      </c>
      <c r="AM60" s="40">
        <f t="shared" ref="AM60:AN60" si="119">(AM48+AM49+AM50+AM51+AM52+AM53+AM54+AM55+AM56+AM57+AM58+AM59)</f>
        <v>0</v>
      </c>
      <c r="AN60" s="40">
        <f t="shared" ca="1" si="119"/>
        <v>0</v>
      </c>
      <c r="AO60" s="40">
        <f t="shared" ref="AO60:AP60" si="120">(AO48+AO49+AO50+AO51+AO52+AO53+AO54+AO55+AO56+AO57+AO58+AO59)</f>
        <v>0</v>
      </c>
      <c r="AP60" s="40">
        <f t="shared" ca="1" si="120"/>
        <v>0</v>
      </c>
    </row>
    <row r="61" spans="29:67" ht="39.950000000000003" hidden="1" customHeight="1" x14ac:dyDescent="0.25">
      <c r="AE61" s="39">
        <v>59</v>
      </c>
      <c r="AF61" s="44">
        <v>29.5</v>
      </c>
      <c r="AG61" s="63" t="s">
        <v>0</v>
      </c>
      <c r="AH61" s="40">
        <f t="shared" ref="AH61" ca="1" si="121">(AH60/12)</f>
        <v>14207.814185498728</v>
      </c>
      <c r="AI61" s="40">
        <f t="shared" ref="AI61" ca="1" si="122">(AI60/12)</f>
        <v>-1989.0939859698228</v>
      </c>
      <c r="AJ61" s="40">
        <f t="shared" ref="AJ61:AK61" ca="1" si="123">(AJ60/12)</f>
        <v>-142.07814185498731</v>
      </c>
      <c r="AK61" s="40">
        <f t="shared" ca="1" si="123"/>
        <v>14128.04205767392</v>
      </c>
      <c r="AL61" s="40">
        <f t="shared" ref="AL61" ca="1" si="124">(AL60/12)</f>
        <v>2392.9243188320647</v>
      </c>
      <c r="AM61" s="40">
        <f t="shared" ref="AM61:AN61" si="125">(AM60/12)</f>
        <v>0</v>
      </c>
      <c r="AN61" s="40">
        <f t="shared" ca="1" si="125"/>
        <v>0</v>
      </c>
      <c r="AO61" s="40">
        <f t="shared" ref="AO61:AP61" si="126">(AO60/12)</f>
        <v>0</v>
      </c>
      <c r="AP61" s="40">
        <f t="shared" ca="1" si="126"/>
        <v>0</v>
      </c>
    </row>
    <row r="62" spans="29:67" ht="39.950000000000003" hidden="1" customHeight="1" x14ac:dyDescent="0.25">
      <c r="AE62" s="39">
        <v>60</v>
      </c>
      <c r="AF62" s="44">
        <v>30</v>
      </c>
      <c r="AG62" s="63" t="s">
        <v>0</v>
      </c>
      <c r="AN62" s="40">
        <f ca="1">(AO62+AS62*-1+AT43*-1+AU43*-1+AV15*-1)</f>
        <v>2085.0475188320647</v>
      </c>
      <c r="AO62" s="40">
        <f>(80*G15)</f>
        <v>2080</v>
      </c>
      <c r="AP62" s="40">
        <f ca="1">ROUND((AO62+AS62*-1+AT43*-1+AU43*-1+AV15*-1),2)</f>
        <v>2085.0500000000002</v>
      </c>
      <c r="AQ62" s="40">
        <f ca="1">IF($AN$12*G15&gt;=AN62,AN62,$AN$12*G15)</f>
        <v>2085.0475188320647</v>
      </c>
      <c r="AR62" s="40">
        <f ca="1">IF(AP62-AQ62&gt;=0,AP62-AQ62,0)</f>
        <v>2.4811679354570515E-3</v>
      </c>
      <c r="AS62" s="40">
        <f ca="1">(AR62*0.00759*-1)</f>
        <v>-1.8832064630119021E-5</v>
      </c>
    </row>
    <row r="63" spans="29:67" ht="39.950000000000003" hidden="1" customHeight="1" x14ac:dyDescent="0.25">
      <c r="AE63" s="39">
        <v>61</v>
      </c>
      <c r="AF63" s="44">
        <v>30.5</v>
      </c>
      <c r="AG63" s="63" t="s">
        <v>0</v>
      </c>
      <c r="AN63" s="40">
        <f ca="1">(AO63+AS63*-1+AT44*-1+AU44*-1+AV16*-1)</f>
        <v>2085.0475188320647</v>
      </c>
      <c r="AO63" s="40">
        <f>(80*G16)</f>
        <v>2080</v>
      </c>
      <c r="AP63" s="40">
        <f ca="1">ROUND((AO63+AS63*-1+AT44*-1+AU44*-1+AV16*-1),2)</f>
        <v>2085.0500000000002</v>
      </c>
      <c r="AQ63" s="40">
        <f ca="1">IF($AN$12*G16&gt;=AN63,AN63,$AN$12*G16)</f>
        <v>2085.0475188320647</v>
      </c>
      <c r="AR63" s="40">
        <f t="shared" ref="AR63:AR73" ca="1" si="127">IF(AP63-AQ63&gt;=0,AP63-AQ63,0)</f>
        <v>2.4811679354570515E-3</v>
      </c>
      <c r="AS63" s="40">
        <f t="shared" ref="AS63:AS73" ca="1" si="128">(AR63*0.00759*-1)</f>
        <v>-1.8832064630119021E-5</v>
      </c>
    </row>
    <row r="64" spans="29:67" ht="39.950000000000003" hidden="1" customHeight="1" x14ac:dyDescent="0.25">
      <c r="AE64" s="39">
        <v>62</v>
      </c>
      <c r="AF64" s="44">
        <v>31</v>
      </c>
      <c r="AG64" s="63" t="s">
        <v>0</v>
      </c>
      <c r="AI64" s="40">
        <f>(0)</f>
        <v>0</v>
      </c>
      <c r="AJ64" s="59">
        <f>(0%)</f>
        <v>0</v>
      </c>
      <c r="AN64" s="40">
        <f ca="1">(AO64+AS64*-1+AT45*-1+AU45*-1+AV17*-1)</f>
        <v>2085.0475188320647</v>
      </c>
      <c r="AO64" s="40">
        <f>(80*G17)</f>
        <v>2080</v>
      </c>
      <c r="AP64" s="40">
        <f ca="1">ROUND((AO64+AS64*-1+AT45*-1+AU45*-1+AV17*-1),2)</f>
        <v>2085.0500000000002</v>
      </c>
      <c r="AQ64" s="40">
        <f ca="1">IF($AN$12*G17&gt;=AN64,AN64,$AN$12*G17)</f>
        <v>2085.0475188320647</v>
      </c>
      <c r="AR64" s="40">
        <f t="shared" ca="1" si="127"/>
        <v>2.4811679354570515E-3</v>
      </c>
      <c r="AS64" s="40">
        <f t="shared" ca="1" si="128"/>
        <v>-1.8832064630119021E-5</v>
      </c>
    </row>
    <row r="65" spans="31:45" ht="39.950000000000003" hidden="1" customHeight="1" x14ac:dyDescent="0.25">
      <c r="AE65" s="39">
        <v>63</v>
      </c>
      <c r="AF65" s="44">
        <v>31.5</v>
      </c>
      <c r="AG65" s="63" t="s">
        <v>0</v>
      </c>
      <c r="AH65" s="40">
        <f ca="1">(AK48-AL48)</f>
        <v>19705.400572175186</v>
      </c>
      <c r="AI65" s="40">
        <f ca="1">SUM($AH$65:AH65)</f>
        <v>19705.400572175186</v>
      </c>
      <c r="AJ65" s="59">
        <f ca="1">IF(AI65&lt;=$BL$1,$BJ$1,
IF(AI65&gt;$BL$3,
IF(AI65&gt;$BL$4,$BJ$5,$BJ$4),
IF(AI65&lt;$BL$2,$BJ$2,$BJ$3)))</f>
        <v>0.15</v>
      </c>
      <c r="AK65" s="36">
        <f ca="1">IF(AJ65-AJ64=0,0,1)</f>
        <v>1</v>
      </c>
      <c r="AL65" s="53">
        <f ca="1">(IF(AK65=0,AJ65,(VLOOKUP($AJ65,$BJ$1:$BM$5,2,0)-AI64)/AH65*AJ64+(AI65-VLOOKUP($AJ65,$BJ$1:$BM$5,2,0))/AH65*AJ65))</f>
        <v>0.15</v>
      </c>
      <c r="AM65" s="40">
        <f ca="1">(ROUND(AH65*AL65,2)*(-1)+VLOOKUP(AJ65,$BJ$1:$BM$5,4,0)*(-1))</f>
        <v>-2955.81</v>
      </c>
      <c r="AN65" s="40">
        <f ca="1">(AO65+AS65*-1+AT46*-1+AU46*-1+AV18*-1)</f>
        <v>2085.0475188320647</v>
      </c>
      <c r="AO65" s="40">
        <f>(80*G18)</f>
        <v>2080</v>
      </c>
      <c r="AP65" s="40">
        <f ca="1">ROUND((AO65+AS65*-1+AT46*-1+AU46*-1+AV18*-1),2)</f>
        <v>2085.0500000000002</v>
      </c>
      <c r="AQ65" s="40">
        <f ca="1">IF($AN$12*G18&gt;=AN65,AN65,$AN$12*G18)</f>
        <v>2085.0475188320647</v>
      </c>
      <c r="AR65" s="40">
        <f t="shared" ca="1" si="127"/>
        <v>2.4811679354570515E-3</v>
      </c>
      <c r="AS65" s="40">
        <f t="shared" ca="1" si="128"/>
        <v>-1.8832064630119021E-5</v>
      </c>
    </row>
    <row r="66" spans="31:45" ht="39.950000000000003" hidden="1" customHeight="1" x14ac:dyDescent="0.25">
      <c r="AE66" s="39">
        <v>64</v>
      </c>
      <c r="AF66" s="44">
        <v>32</v>
      </c>
      <c r="AG66" s="63" t="s">
        <v>0</v>
      </c>
      <c r="AH66" s="40">
        <f ca="1">(AK49-AL49)</f>
        <v>9424.5145721751906</v>
      </c>
      <c r="AI66" s="40">
        <f ca="1">SUM($AH$65:AH66)</f>
        <v>29129.915144350376</v>
      </c>
      <c r="AJ66" s="59">
        <f ca="1">IF(AI66&lt;=$BL$1,$BJ$1,
IF(AI66&gt;$BL$3,
IF(AI66&gt;$BL$4,$BJ$5,$BJ$4),
IF(AI66&lt;$BL$2,$BJ$2,$BJ$3)))</f>
        <v>0.15</v>
      </c>
      <c r="AK66" s="36">
        <f t="shared" ref="AK66:AK76" ca="1" si="129">IF(AJ66-AJ65=0,0,1)</f>
        <v>0</v>
      </c>
      <c r="AL66" s="53">
        <f ca="1">(IF(AK66=0,AJ66,(VLOOKUP($AJ66,$BJ$1:$BM$5,2,0)-AI65)/AH66*AJ65+(AI66-VLOOKUP($AJ66,$BJ$1:$BM$5,2,0))/AH66*AJ66))</f>
        <v>0.15</v>
      </c>
      <c r="AM66" s="40">
        <f ca="1">(ROUND(AH66*AL66,2)*(-1))</f>
        <v>-1413.68</v>
      </c>
      <c r="AN66" s="40">
        <f ca="1">(AO66+AS66*-1+AT47*-1+AU47*-1+AV19*-1)</f>
        <v>2085.0475188320647</v>
      </c>
      <c r="AO66" s="40">
        <f>(80*G19)</f>
        <v>2080</v>
      </c>
      <c r="AP66" s="40">
        <f ca="1">ROUND((AO66+AS66*-1+AT47*-1+AU47*-1+AV19*-1),2)</f>
        <v>2085.0500000000002</v>
      </c>
      <c r="AQ66" s="40">
        <f ca="1">IF($AN$12*G19&gt;=AN66,AN66,$AN$12*G19)</f>
        <v>2085.0475188320647</v>
      </c>
      <c r="AR66" s="40">
        <f t="shared" ca="1" si="127"/>
        <v>2.4811679354570515E-3</v>
      </c>
      <c r="AS66" s="40">
        <f t="shared" ca="1" si="128"/>
        <v>-1.8832064630119021E-5</v>
      </c>
    </row>
    <row r="67" spans="31:45" ht="39.950000000000003" hidden="1" customHeight="1" x14ac:dyDescent="0.25">
      <c r="AE67" s="39">
        <v>65</v>
      </c>
      <c r="AF67" s="44">
        <v>32.5</v>
      </c>
      <c r="AG67" s="63" t="s">
        <v>0</v>
      </c>
      <c r="AH67" s="40">
        <f ca="1">(AK50-AL50)</f>
        <v>19705.400572175186</v>
      </c>
      <c r="AI67" s="40">
        <f ca="1">SUM($AH$65:AH67)</f>
        <v>48835.315716525562</v>
      </c>
      <c r="AJ67" s="59">
        <f ca="1">IF(AI67&lt;=$BL$1,$BJ$1,
IF(AI67&gt;$BL$3,
IF(AI67&gt;$BL$4,$BJ$5,$BJ$4),
IF(AI67&lt;$BL$2,$BJ$2,$BJ$3)))</f>
        <v>0.15</v>
      </c>
      <c r="AK67" s="36">
        <f t="shared" ca="1" si="129"/>
        <v>0</v>
      </c>
      <c r="AL67" s="53">
        <f ca="1">(IF(AK67=0,AJ67,(VLOOKUP($AJ67,$BJ$1:$BM$5,2,0)-AI66)/AH67*AJ66+(AI67-VLOOKUP($AJ67,$BJ$1:$BM$5,2,0))/AH67*AJ67))</f>
        <v>0.15</v>
      </c>
      <c r="AM67" s="40">
        <f ca="1">(ROUND(AH67*AL67,2)*(-1))</f>
        <v>-2955.81</v>
      </c>
      <c r="AN67" s="40">
        <f ca="1">(AO67+AS67*-1+AT48*-1+AU48*-1+AV20*-1)</f>
        <v>2085.0475188320647</v>
      </c>
      <c r="AO67" s="40">
        <f>(80*G20)</f>
        <v>2080</v>
      </c>
      <c r="AP67" s="40">
        <f ca="1">ROUND((AO67+AS67*-1+AT48*-1+AU48*-1+AV20*-1),2)</f>
        <v>2085.0500000000002</v>
      </c>
      <c r="AQ67" s="40">
        <f ca="1">IF($AN$12*G20&gt;=AN67,AN67,$AN$12*G20)</f>
        <v>2085.0475188320647</v>
      </c>
      <c r="AR67" s="40">
        <f t="shared" ca="1" si="127"/>
        <v>2.4811679354570515E-3</v>
      </c>
      <c r="AS67" s="40">
        <f t="shared" ca="1" si="128"/>
        <v>-1.8832064630119021E-5</v>
      </c>
    </row>
    <row r="68" spans="31:45" ht="39.950000000000003" hidden="1" customHeight="1" x14ac:dyDescent="0.25">
      <c r="AE68" s="39">
        <v>66</v>
      </c>
      <c r="AF68" s="44">
        <v>33</v>
      </c>
      <c r="AG68" s="63" t="s">
        <v>0</v>
      </c>
      <c r="AH68" s="40">
        <f ca="1">(AK51-AL51)</f>
        <v>10047.598572175188</v>
      </c>
      <c r="AI68" s="40">
        <f ca="1">SUM($AH$65:AH68)</f>
        <v>58882.914288700747</v>
      </c>
      <c r="AJ68" s="59">
        <f ca="1">IF(AI68&lt;=$BL$1,$BJ$1,
IF(AI68&gt;$BL$3,
IF(AI68&gt;$BL$4,$BJ$5,$BJ$4),
IF(AI68&lt;$BL$2,$BJ$2,$BJ$3)))</f>
        <v>0.15</v>
      </c>
      <c r="AK68" s="36">
        <f t="shared" ca="1" si="129"/>
        <v>0</v>
      </c>
      <c r="AL68" s="53">
        <f ca="1">(IF(AK68=0,AJ68,(VLOOKUP($AJ68,$BJ$1:$BM$5,2,0)-AI67)/AH68*AJ67+(AI68-VLOOKUP($AJ68,$BJ$1:$BM$5,2,0))/AH68*AJ68))</f>
        <v>0.15</v>
      </c>
      <c r="AM68" s="40">
        <f t="shared" ref="AM68:AM76" ca="1" si="130">(ROUND(AH68*AL68,2)*(-1))</f>
        <v>-1507.14</v>
      </c>
      <c r="AN68" s="40">
        <f ca="1">(AO68+AS68*-1+AT49*-1+AU49*-1+AV21*-1)</f>
        <v>2085.0475188320647</v>
      </c>
      <c r="AO68" s="40">
        <f>(80*G21)</f>
        <v>2080</v>
      </c>
      <c r="AP68" s="40">
        <f ca="1">ROUND((AO68+AS68*-1+AT49*-1+AU49*-1+AV21*-1),2)</f>
        <v>2085.0500000000002</v>
      </c>
      <c r="AQ68" s="40">
        <f ca="1">IF($AO$12*G21&gt;=AN68,AN68,$AO$12*G21)</f>
        <v>2085.0475188320647</v>
      </c>
      <c r="AR68" s="40">
        <f t="shared" ca="1" si="127"/>
        <v>2.4811679354570515E-3</v>
      </c>
      <c r="AS68" s="40">
        <f t="shared" ca="1" si="128"/>
        <v>-1.8832064630119021E-5</v>
      </c>
    </row>
    <row r="69" spans="31:45" ht="39.950000000000003" hidden="1" customHeight="1" x14ac:dyDescent="0.25">
      <c r="AE69" s="39">
        <v>67</v>
      </c>
      <c r="AF69" s="44">
        <v>33.5</v>
      </c>
      <c r="AG69" s="63" t="s">
        <v>0</v>
      </c>
      <c r="AH69" s="40">
        <f ca="1">(AK52-AL52)</f>
        <v>10359.140572175189</v>
      </c>
      <c r="AI69" s="40">
        <f ca="1">SUM($AH$65:AH69)</f>
        <v>69242.054860875942</v>
      </c>
      <c r="AJ69" s="59">
        <f ca="1">IF(AI69&lt;=$BL$1,$BJ$1,
IF(AI69&gt;$BL$3,
IF(AI69&gt;$BL$4,$BJ$5,$BJ$4),
IF(AI69&lt;$BL$2,$BJ$2,$BJ$3)))</f>
        <v>0.15</v>
      </c>
      <c r="AK69" s="36">
        <f t="shared" ca="1" si="129"/>
        <v>0</v>
      </c>
      <c r="AL69" s="53">
        <f ca="1">(IF(AK69=0,AJ69,(VLOOKUP($AJ69,$BJ$1:$BM$5,2,0)-AI68)/AH69*AJ68+(AI69-VLOOKUP($AJ69,$BJ$1:$BM$5,2,0))/AH69*AJ69))</f>
        <v>0.15</v>
      </c>
      <c r="AM69" s="40">
        <f t="shared" ca="1" si="130"/>
        <v>-1553.87</v>
      </c>
      <c r="AN69" s="40">
        <f ca="1">(AO69+AS69*-1+AT50*-1+AU50*-1+AV22*-1)</f>
        <v>2085.0475188320647</v>
      </c>
      <c r="AO69" s="40">
        <f>(80*G22)</f>
        <v>2080</v>
      </c>
      <c r="AP69" s="40">
        <f ca="1">ROUND((AO69+AS69*-1+AT50*-1+AU50*-1+AV22*-1),2)</f>
        <v>2085.0500000000002</v>
      </c>
      <c r="AQ69" s="40">
        <f ca="1">IF($AO$12*G22&gt;=AN69,AN69,$AO$12*G22)</f>
        <v>2085.0475188320647</v>
      </c>
      <c r="AR69" s="40">
        <f t="shared" ca="1" si="127"/>
        <v>2.4811679354570515E-3</v>
      </c>
      <c r="AS69" s="40">
        <f t="shared" ca="1" si="128"/>
        <v>-1.8832064630119021E-5</v>
      </c>
    </row>
    <row r="70" spans="31:45" ht="39.950000000000003" hidden="1" customHeight="1" x14ac:dyDescent="0.25">
      <c r="AE70" s="39">
        <v>68</v>
      </c>
      <c r="AF70" s="44">
        <v>34</v>
      </c>
      <c r="AG70" s="63" t="s">
        <v>0</v>
      </c>
      <c r="AH70" s="40">
        <f ca="1">(AK53-AL53)</f>
        <v>10047.598572175188</v>
      </c>
      <c r="AI70" s="40">
        <f ca="1">SUM($AH$65:AH70)</f>
        <v>79289.653433051135</v>
      </c>
      <c r="AJ70" s="59">
        <f ca="1">IF(AI70&lt;=$BL$1,$BJ$1,
IF(AI70&gt;$BL$3,
IF(AI70&gt;$BL$4,$BJ$5,$BJ$4),
IF(AI70&lt;$BL$2,$BJ$2,$BJ$3)))</f>
        <v>0.2</v>
      </c>
      <c r="AK70" s="36">
        <f t="shared" ca="1" si="129"/>
        <v>1</v>
      </c>
      <c r="AL70" s="53">
        <f ca="1">(IF(AK70=0,AJ70,(VLOOKUP($AJ70,$BJ$1:$BM$5,2,0)-AI69)/AH70*AJ69+(AI70-VLOOKUP($AJ70,$BJ$1:$BM$5,2,0))/AH70*AJ70))</f>
        <v>0.1962282274033966</v>
      </c>
      <c r="AM70" s="40">
        <f t="shared" ca="1" si="130"/>
        <v>-1971.62</v>
      </c>
      <c r="AN70" s="40">
        <f ca="1">(AO70+AS70*-1+AT51*-1+AU51*-1+AV23*-1)</f>
        <v>2085.0475188320647</v>
      </c>
      <c r="AO70" s="40">
        <f>(80*G23)</f>
        <v>2080</v>
      </c>
      <c r="AP70" s="40">
        <f ca="1">ROUND((AO70+AS70*-1+AT51*-1+AU51*-1+AV23*-1),2)</f>
        <v>2085.0500000000002</v>
      </c>
      <c r="AQ70" s="40">
        <f ca="1">IF($AO$12*G23&gt;=AN70,AN70,$AO$12*G23)</f>
        <v>2085.0475188320647</v>
      </c>
      <c r="AR70" s="40">
        <f t="shared" ca="1" si="127"/>
        <v>2.4811679354570515E-3</v>
      </c>
      <c r="AS70" s="40">
        <f t="shared" ca="1" si="128"/>
        <v>-1.8832064630119021E-5</v>
      </c>
    </row>
    <row r="71" spans="31:45" ht="39.950000000000003" hidden="1" customHeight="1" x14ac:dyDescent="0.25">
      <c r="AE71" s="39">
        <v>69</v>
      </c>
      <c r="AF71" s="44">
        <v>34.5</v>
      </c>
      <c r="AG71" s="63" t="s">
        <v>0</v>
      </c>
      <c r="AH71" s="40">
        <f ca="1">(AK54-AL54)</f>
        <v>10359.140572175189</v>
      </c>
      <c r="AI71" s="40">
        <f ca="1">SUM($AH$65:AH71)</f>
        <v>89648.794005226329</v>
      </c>
      <c r="AJ71" s="59">
        <f ca="1">IF(AI71&lt;=$BL$1,$BJ$1,
IF(AI71&gt;$BL$3,
IF(AI71&gt;$BL$4,$BJ$5,$BJ$4),
IF(AI71&lt;$BL$2,$BJ$2,$BJ$3)))</f>
        <v>0.2</v>
      </c>
      <c r="AK71" s="36">
        <f t="shared" ca="1" si="129"/>
        <v>0</v>
      </c>
      <c r="AL71" s="53">
        <f ca="1">(IF(AK71=0,AJ71,(VLOOKUP($AJ71,$BJ$1:$BM$5,2,0)-AI70)/AH71*AJ70+(AI71-VLOOKUP($AJ71,$BJ$1:$BM$5,2,0))/AH71*AJ71))</f>
        <v>0.2</v>
      </c>
      <c r="AM71" s="40">
        <f t="shared" ca="1" si="130"/>
        <v>-2071.83</v>
      </c>
      <c r="AN71" s="40">
        <f ca="1">(AO71+AS71*-1+AT52*-1+AU52*-1+AV24*-1)</f>
        <v>2085.0475188320647</v>
      </c>
      <c r="AO71" s="40">
        <f>(80*G24)</f>
        <v>2080</v>
      </c>
      <c r="AP71" s="40">
        <f ca="1">ROUND((AO71+AS71*-1+AT52*-1+AU52*-1+AV24*-1),2)</f>
        <v>2085.0500000000002</v>
      </c>
      <c r="AQ71" s="40">
        <f ca="1">IF($AO$12*G24&gt;=AN71,AN71,$AO$12*G24)</f>
        <v>2085.0475188320647</v>
      </c>
      <c r="AR71" s="40">
        <f t="shared" ca="1" si="127"/>
        <v>2.4811679354570515E-3</v>
      </c>
      <c r="AS71" s="40">
        <f t="shared" ca="1" si="128"/>
        <v>-1.8832064630119021E-5</v>
      </c>
    </row>
    <row r="72" spans="31:45" ht="39.950000000000003" hidden="1" customHeight="1" x14ac:dyDescent="0.25">
      <c r="AE72" s="39">
        <v>70</v>
      </c>
      <c r="AF72" s="44">
        <v>35</v>
      </c>
      <c r="AG72" s="63" t="s">
        <v>0</v>
      </c>
      <c r="AH72" s="40">
        <f ca="1">(AK55-AL55)</f>
        <v>10359.140572175189</v>
      </c>
      <c r="AI72" s="40">
        <f ca="1">SUM($AH$65:AH72)</f>
        <v>100007.93457740152</v>
      </c>
      <c r="AJ72" s="59">
        <f ca="1">IF(AI72&lt;=$BL$1,$BJ$1,
IF(AI72&gt;$BL$3,
IF(AI72&gt;$BL$4,$BJ$5,$BJ$4),
IF(AI72&lt;$BL$2,$BJ$2,$BJ$3)))</f>
        <v>0.2</v>
      </c>
      <c r="AK72" s="36">
        <f t="shared" ca="1" si="129"/>
        <v>0</v>
      </c>
      <c r="AL72" s="53">
        <f ca="1">(IF(AK72=0,AJ72,(VLOOKUP($AJ72,$BJ$1:$BM$5,2,0)-AI71)/AH72*AJ71+(AI72-VLOOKUP($AJ72,$BJ$1:$BM$5,2,0))/AH72*AJ72))</f>
        <v>0.2</v>
      </c>
      <c r="AM72" s="40">
        <f t="shared" ca="1" si="130"/>
        <v>-2071.83</v>
      </c>
      <c r="AN72" s="40">
        <f ca="1">(AO72+AS72*-1+AT53*-1+AU53*-1+AV25*-1)</f>
        <v>2085.0475188320647</v>
      </c>
      <c r="AO72" s="40">
        <f>(80*G25)</f>
        <v>2080</v>
      </c>
      <c r="AP72" s="40">
        <f ca="1">ROUND((AO72+AS72*-1+AT53*-1+AU53*-1+AV25*-1),2)</f>
        <v>2085.0500000000002</v>
      </c>
      <c r="AQ72" s="40">
        <f ca="1">IF($AO$12*G25&gt;=AN72,AN72,$AO$12*G25)</f>
        <v>2085.0475188320647</v>
      </c>
      <c r="AR72" s="40">
        <f t="shared" ca="1" si="127"/>
        <v>2.4811679354570515E-3</v>
      </c>
      <c r="AS72" s="40">
        <f t="shared" ca="1" si="128"/>
        <v>-1.8832064630119021E-5</v>
      </c>
    </row>
    <row r="73" spans="31:45" ht="39.950000000000003" hidden="1" customHeight="1" x14ac:dyDescent="0.25">
      <c r="AE73" s="39">
        <v>71</v>
      </c>
      <c r="AF73" s="44">
        <v>35.5</v>
      </c>
      <c r="AG73" s="63" t="s">
        <v>0</v>
      </c>
      <c r="AH73" s="40">
        <f ca="1">(AK56-AL56)</f>
        <v>10047.598572175188</v>
      </c>
      <c r="AI73" s="40">
        <f ca="1">SUM($AH$65:AH73)</f>
        <v>110055.53314957672</v>
      </c>
      <c r="AJ73" s="59">
        <f ca="1">IF(AI73&lt;=$BL$1,$BJ$1,
IF(AI73&gt;$BL$3,
IF(AI73&gt;$BL$4,$BJ$5,$BJ$4),
IF(AI73&lt;$BL$2,$BJ$2,$BJ$3)))</f>
        <v>0.2</v>
      </c>
      <c r="AK73" s="36">
        <f t="shared" ca="1" si="129"/>
        <v>0</v>
      </c>
      <c r="AL73" s="53">
        <f ca="1">(IF(AK73=0,AJ73,(VLOOKUP($AJ73,$BJ$1:$BM$5,2,0)-AI72)/AH73*AJ72+(AI73-VLOOKUP($AJ73,$BJ$1:$BM$5,2,0))/AH73*AJ73))</f>
        <v>0.2</v>
      </c>
      <c r="AM73" s="40">
        <f t="shared" ca="1" si="130"/>
        <v>-2009.52</v>
      </c>
      <c r="AN73" s="40">
        <f ca="1">(AO73+AS73*-1+AT54*-1+AU54*-1+AV26*-1)</f>
        <v>2085.0475188320647</v>
      </c>
      <c r="AO73" s="40">
        <f>(80*G26)</f>
        <v>2080</v>
      </c>
      <c r="AP73" s="40">
        <f ca="1">ROUND((AO73+AS73*-1+AT54*-1+AU54*-1+AV26*-1),2)</f>
        <v>2085.0500000000002</v>
      </c>
      <c r="AQ73" s="40">
        <f ca="1">IF($AO$12*G26&gt;=AN73,AN73,$AO$12*G26)</f>
        <v>2085.0475188320647</v>
      </c>
      <c r="AR73" s="40">
        <f t="shared" ca="1" si="127"/>
        <v>2.4811679354570515E-3</v>
      </c>
      <c r="AS73" s="40">
        <f t="shared" ca="1" si="128"/>
        <v>-1.8832064630119021E-5</v>
      </c>
    </row>
    <row r="74" spans="31:45" ht="39.950000000000003" hidden="1" customHeight="1" x14ac:dyDescent="0.25">
      <c r="AE74" s="39">
        <v>72</v>
      </c>
      <c r="AF74" s="44">
        <v>36</v>
      </c>
      <c r="AG74" s="63" t="s">
        <v>0</v>
      </c>
      <c r="AH74" s="40">
        <f ca="1">(AK57-AL57)</f>
        <v>10359.140572175189</v>
      </c>
      <c r="AI74" s="40">
        <f ca="1">SUM($AH$65:AH74)</f>
        <v>120414.67372175191</v>
      </c>
      <c r="AJ74" s="59">
        <f ca="1">IF(AI74&lt;=$BL$1,$BJ$1,
IF(AI74&gt;$BL$3,
IF(AI74&gt;$BL$4,$BJ$5,$BJ$4),
IF(AI74&lt;$BL$2,$BJ$2,$BJ$3)))</f>
        <v>0.2</v>
      </c>
      <c r="AK74" s="36">
        <f t="shared" ca="1" si="129"/>
        <v>0</v>
      </c>
      <c r="AL74" s="53">
        <f ca="1">(IF(AK74=0,AJ74,(VLOOKUP($AJ74,$BJ$1:$BM$5,2,0)-AI73)/AH74*AJ73+(AI74-VLOOKUP($AJ74,$BJ$1:$BM$5,2,0))/AH74*AJ74))</f>
        <v>0.2</v>
      </c>
      <c r="AM74" s="40">
        <f t="shared" ca="1" si="130"/>
        <v>-2071.83</v>
      </c>
      <c r="AN74" s="40">
        <f ca="1">(AN62+AN63+AN64+AN65+AN66+AN67+AN68+AN69+AN70+AN71+AN72+AN73)</f>
        <v>25020.570225984771</v>
      </c>
      <c r="AO74" s="40">
        <f>(AO62+AO63+AO64+AO65+AO66+AO67+AO68+AO69+AO70+AO71+AO72+AO73)</f>
        <v>24960</v>
      </c>
      <c r="AP74" s="40">
        <f ca="1">(AP62+AP63+AP64+AP65+AP66+AP67+AP68+AP69+AP70+AP71+AP72+AP73)</f>
        <v>25020.599999999995</v>
      </c>
      <c r="AQ74" s="40">
        <f ca="1">(AQ62+AQ63+AQ64+AQ65+AQ66+AQ67+AQ68+AQ69+AQ70+AQ71+AQ72+AQ73)</f>
        <v>25020.570225984771</v>
      </c>
      <c r="AR74" s="40">
        <f ca="1">(AR62+AR63+AR64+AR65+AR66+AR67+AR68+AR69+AR70+AR71+AR72+AR73)</f>
        <v>2.9774015225484618E-2</v>
      </c>
      <c r="AS74" s="40">
        <f ca="1">(AS62+AS63+AS64+AS65+AS66+AS67+AS68+AS69+AS70+AS71+AS72+AS73)</f>
        <v>-2.2598477556142829E-4</v>
      </c>
    </row>
    <row r="75" spans="31:45" ht="39.950000000000003" hidden="1" customHeight="1" x14ac:dyDescent="0.25">
      <c r="AE75" s="39">
        <v>73</v>
      </c>
      <c r="AF75" s="44">
        <v>36.5</v>
      </c>
      <c r="AG75" s="63" t="s">
        <v>0</v>
      </c>
      <c r="AH75" s="40">
        <f ca="1">(AK58-AL58)</f>
        <v>10047.598572175188</v>
      </c>
      <c r="AI75" s="40">
        <f ca="1">SUM($AH$65:AH75)</f>
        <v>130462.2722939271</v>
      </c>
      <c r="AJ75" s="59">
        <f ca="1">IF(AI75&lt;=$BL$1,$BJ$1,
IF(AI75&gt;$BL$3,
IF(AI75&gt;$BL$4,$BJ$5,$BJ$4),
IF(AI75&lt;$BL$2,$BJ$2,$BJ$3)))</f>
        <v>0.2</v>
      </c>
      <c r="AK75" s="36">
        <f t="shared" ca="1" si="129"/>
        <v>0</v>
      </c>
      <c r="AL75" s="53">
        <f ca="1">(IF(AK75=0,AJ75,(VLOOKUP($AJ75,$BJ$1:$BM$5,2,0)-AI74)/AH75*AJ74+(AI75-VLOOKUP($AJ75,$BJ$1:$BM$5,2,0))/AH75*AJ75))</f>
        <v>0.2</v>
      </c>
      <c r="AM75" s="40">
        <f t="shared" ca="1" si="130"/>
        <v>-2009.52</v>
      </c>
      <c r="AN75" s="40">
        <f ca="1">(AN74/12)</f>
        <v>2085.0475188320643</v>
      </c>
      <c r="AO75" s="40">
        <f>(AO74/12)</f>
        <v>2080</v>
      </c>
      <c r="AP75" s="40">
        <f ca="1">(AP74/12)</f>
        <v>2085.0499999999997</v>
      </c>
      <c r="AQ75" s="40">
        <f ca="1">(AQ74/12)</f>
        <v>2085.0475188320643</v>
      </c>
      <c r="AR75" s="40">
        <f ca="1">(AR74/12)</f>
        <v>2.4811679354570515E-3</v>
      </c>
      <c r="AS75" s="40">
        <f ca="1">(AS74/12)</f>
        <v>-1.8832064630119025E-5</v>
      </c>
    </row>
    <row r="76" spans="31:45" ht="39.950000000000003" hidden="1" customHeight="1" x14ac:dyDescent="0.25">
      <c r="AE76" s="39">
        <v>74</v>
      </c>
      <c r="AF76" s="44">
        <v>37</v>
      </c>
      <c r="AG76" s="63" t="s">
        <v>0</v>
      </c>
      <c r="AH76" s="40">
        <f ca="1">(AK59-AL59)</f>
        <v>10359.140572175189</v>
      </c>
      <c r="AI76" s="40">
        <f ca="1">SUM($AH$65:AH76)</f>
        <v>140821.4128661023</v>
      </c>
      <c r="AJ76" s="59">
        <f ca="1">IF(AI76&lt;=$BL$1,$BJ$1,
IF(AI76&gt;$BL$3,
IF(AI76&gt;$BL$4,$BJ$5,$BJ$4),
IF(AI76&lt;$BL$2,$BJ$2,$BJ$3)))</f>
        <v>0.2</v>
      </c>
      <c r="AK76" s="36">
        <f t="shared" ca="1" si="129"/>
        <v>0</v>
      </c>
      <c r="AL76" s="53">
        <f ca="1">(IF(AK76=0,AJ76,(VLOOKUP($AJ76,$BJ$1:$BM$5,2,0)-AI75)/AH76*AJ75+(AI76-VLOOKUP($AJ76,$BJ$1:$BM$5,2,0))/AH76*AJ76))</f>
        <v>0.2</v>
      </c>
      <c r="AM76" s="40">
        <f t="shared" ca="1" si="130"/>
        <v>-2071.83</v>
      </c>
    </row>
    <row r="77" spans="31:45" ht="39.950000000000003" hidden="1" customHeight="1" x14ac:dyDescent="0.25">
      <c r="AE77" s="39">
        <v>75</v>
      </c>
      <c r="AF77" s="44">
        <v>37.5</v>
      </c>
      <c r="AG77" s="63" t="s">
        <v>0</v>
      </c>
      <c r="AH77" s="40">
        <f t="shared" ref="AH77" ca="1" si="131">(AH65+AH66+AH67+AH68+AH69+AH70+AH71+AH72+AH73+AH74+AH75+AH76)</f>
        <v>140821.4128661023</v>
      </c>
      <c r="AI77" s="48" t="s">
        <v>0</v>
      </c>
      <c r="AJ77" s="39" t="s">
        <v>0</v>
      </c>
      <c r="AK77" s="39" t="s">
        <v>0</v>
      </c>
      <c r="AL77" s="39" t="s">
        <v>0</v>
      </c>
      <c r="AM77" s="40">
        <f t="shared" ref="AM77" ca="1" si="132">(AM65+AM66+AM67+AM68+AM69+AM70+AM71+AM72+AM73+AM74+AM75+AM76)</f>
        <v>-24664.289999999994</v>
      </c>
    </row>
    <row r="78" spans="31:45" ht="39.950000000000003" hidden="1" customHeight="1" x14ac:dyDescent="0.25">
      <c r="AE78" s="39">
        <v>76</v>
      </c>
      <c r="AF78" s="44">
        <v>38</v>
      </c>
      <c r="AG78" s="63" t="s">
        <v>0</v>
      </c>
      <c r="AH78" s="40">
        <f t="shared" ref="AH78" ca="1" si="133">(AH77/12)</f>
        <v>11735.117738841858</v>
      </c>
      <c r="AI78" s="48" t="s">
        <v>0</v>
      </c>
      <c r="AJ78" s="48" t="s">
        <v>0</v>
      </c>
      <c r="AK78" s="48" t="s">
        <v>0</v>
      </c>
      <c r="AL78" s="48" t="s">
        <v>0</v>
      </c>
      <c r="AM78" s="40">
        <f t="shared" ref="AM78" ca="1" si="134">(AM77/12)</f>
        <v>-2055.3574999999996</v>
      </c>
    </row>
    <row r="79" spans="31:45" ht="39.950000000000003" hidden="1" customHeight="1" x14ac:dyDescent="0.25">
      <c r="AE79" s="39">
        <v>77</v>
      </c>
      <c r="AF79" s="44">
        <v>38.5</v>
      </c>
      <c r="AG79" s="63" t="s">
        <v>0</v>
      </c>
      <c r="AI79" s="40">
        <f>(BN15)</f>
        <v>1276.02</v>
      </c>
      <c r="AJ79" s="40">
        <f ca="1">(AM65+AI79)</f>
        <v>-1679.79</v>
      </c>
      <c r="AK79" s="53">
        <f ca="1">(100+(100*0.00759*-1)+(100)*AL65*-1)/100</f>
        <v>0.84240999999999999</v>
      </c>
      <c r="AL79" s="53">
        <f>(100+(100*0.00759*-1)+(100*0.14*-1)+(100*0.01*-1))/100</f>
        <v>0.84240999999999999</v>
      </c>
      <c r="AM79" s="53">
        <f ca="1">(100+(100*0.00759*-1)+(100*0.14*-1)+(100*0.01*-1)+(100+100*0.14*-1+100*0.01*-1)*AL65*-1)/100</f>
        <v>0.71491000000000005</v>
      </c>
    </row>
    <row r="80" spans="31:45" ht="39.950000000000003" hidden="1" customHeight="1" x14ac:dyDescent="0.25">
      <c r="AE80" s="39">
        <v>78</v>
      </c>
      <c r="AF80" s="44">
        <v>39</v>
      </c>
      <c r="AG80" s="63" t="s">
        <v>0</v>
      </c>
      <c r="AI80" s="40">
        <f>(BN16)</f>
        <v>1276.02</v>
      </c>
      <c r="AJ80" s="40">
        <f ca="1">(AM66+AI80)</f>
        <v>-137.66000000000008</v>
      </c>
      <c r="AK80" s="53">
        <f ca="1">(100+(100*0.00759*-1)+(100)*AL66*-1)/100</f>
        <v>0.84240999999999999</v>
      </c>
      <c r="AL80" s="53">
        <f t="shared" ref="AL80:AL90" si="135">(100+(100*0.00759*-1)+(100*0.14*-1)+(100*0.01*-1))/100</f>
        <v>0.84240999999999999</v>
      </c>
      <c r="AM80" s="53">
        <f ca="1">(100+(100*0.00759*-1)+(100*0.14*-1)+(100*0.01*-1)+(100+100*0.14*-1+100*0.01*-1)*AL66*-1)/100</f>
        <v>0.71491000000000005</v>
      </c>
    </row>
    <row r="81" spans="31:39" ht="39.950000000000003" hidden="1" customHeight="1" x14ac:dyDescent="0.25">
      <c r="AE81" s="39">
        <v>79</v>
      </c>
      <c r="AF81" s="44">
        <v>39.5</v>
      </c>
      <c r="AG81" s="63" t="s">
        <v>0</v>
      </c>
      <c r="AI81" s="40">
        <f>(BN17)</f>
        <v>1276.02</v>
      </c>
      <c r="AJ81" s="40">
        <f ca="1">(AM67+AI81)</f>
        <v>-1679.79</v>
      </c>
      <c r="AK81" s="53">
        <f ca="1">(100+(100*0.00759*-1)+(100)*AL67*-1)/100</f>
        <v>0.84240999999999999</v>
      </c>
      <c r="AL81" s="53">
        <f t="shared" si="135"/>
        <v>0.84240999999999999</v>
      </c>
      <c r="AM81" s="53">
        <f ca="1">(100+(100*0.00759*-1)+(100*0.14*-1)+(100*0.01*-1)+(100+100*0.14*-1+100*0.01*-1)*AL67*-1)/100</f>
        <v>0.71491000000000005</v>
      </c>
    </row>
    <row r="82" spans="31:39" ht="39.950000000000003" hidden="1" customHeight="1" x14ac:dyDescent="0.25">
      <c r="AE82" s="39">
        <v>80</v>
      </c>
      <c r="AF82" s="44">
        <v>40</v>
      </c>
      <c r="AG82" s="63" t="s">
        <v>0</v>
      </c>
      <c r="AI82" s="40">
        <f>(BN18)</f>
        <v>1276.02</v>
      </c>
      <c r="AJ82" s="40">
        <f ca="1">(AM68+AI82)</f>
        <v>-231.12000000000012</v>
      </c>
      <c r="AK82" s="53">
        <f ca="1">(100+(100*0.00759*-1)+(100)*AL68*-1)/100</f>
        <v>0.84240999999999999</v>
      </c>
      <c r="AL82" s="53">
        <f t="shared" si="135"/>
        <v>0.84240999999999999</v>
      </c>
      <c r="AM82" s="53">
        <f ca="1">(100+(100*0.00759*-1)+(100*0.14*-1)+(100*0.01*-1)+(100+100*0.14*-1+100*0.01*-1)*AL68*-1)/100</f>
        <v>0.71491000000000005</v>
      </c>
    </row>
    <row r="83" spans="31:39" ht="39.950000000000003" hidden="1" customHeight="1" x14ac:dyDescent="0.25">
      <c r="AE83" s="39">
        <v>81</v>
      </c>
      <c r="AF83" s="44">
        <v>40.5</v>
      </c>
      <c r="AG83" s="63" t="s">
        <v>0</v>
      </c>
      <c r="AI83" s="40">
        <f>(BN19)</f>
        <v>1276.02</v>
      </c>
      <c r="AJ83" s="40">
        <f ca="1">(AM69+AI83)</f>
        <v>-277.84999999999991</v>
      </c>
      <c r="AK83" s="53">
        <f ca="1">(100+(100*0.00759*-1)+(100)*AL69*-1)/100</f>
        <v>0.84240999999999999</v>
      </c>
      <c r="AL83" s="53">
        <f t="shared" si="135"/>
        <v>0.84240999999999999</v>
      </c>
      <c r="AM83" s="53">
        <f ca="1">(100+(100*0.00759*-1)+(100*0.14*-1)+(100*0.01*-1)+(100+100*0.14*-1+100*0.01*-1)*AL69*-1)/100</f>
        <v>0.71491000000000005</v>
      </c>
    </row>
    <row r="84" spans="31:39" ht="39.950000000000003" hidden="1" customHeight="1" x14ac:dyDescent="0.25">
      <c r="AE84" s="39">
        <v>82</v>
      </c>
      <c r="AF84" s="44">
        <v>41</v>
      </c>
      <c r="AG84" s="63" t="s">
        <v>0</v>
      </c>
      <c r="AI84" s="40">
        <f>(BN20)</f>
        <v>1276.02</v>
      </c>
      <c r="AJ84" s="40">
        <f ca="1">(AM70+AI84)</f>
        <v>-695.59999999999991</v>
      </c>
      <c r="AK84" s="53">
        <f ca="1">(100+(100*0.00759*-1)+(100)*AL70*-1)/100</f>
        <v>0.79618177259660339</v>
      </c>
      <c r="AL84" s="53">
        <f t="shared" si="135"/>
        <v>0.84240999999999999</v>
      </c>
      <c r="AM84" s="53">
        <f ca="1">(100+(100*0.00759*-1)+(100*0.14*-1)+(100*0.01*-1)+(100+100*0.14*-1+100*0.01*-1)*AL70*-1)/100</f>
        <v>0.67561600670711286</v>
      </c>
    </row>
    <row r="85" spans="31:39" ht="39.950000000000003" hidden="1" customHeight="1" x14ac:dyDescent="0.25">
      <c r="AE85" s="39">
        <v>83</v>
      </c>
      <c r="AF85" s="44">
        <v>41.5</v>
      </c>
      <c r="AG85" s="63" t="s">
        <v>0</v>
      </c>
      <c r="AI85" s="40">
        <f>(BN21)</f>
        <v>1276.02</v>
      </c>
      <c r="AJ85" s="40">
        <f ca="1">(AM71+AI85)</f>
        <v>-795.81</v>
      </c>
      <c r="AK85" s="53">
        <f ca="1">(100+(100*0.00759*-1)+(100)*AL71*-1)/100</f>
        <v>0.79240999999999995</v>
      </c>
      <c r="AL85" s="53">
        <f t="shared" si="135"/>
        <v>0.84240999999999999</v>
      </c>
      <c r="AM85" s="53">
        <f ca="1">(100+(100*0.00759*-1)+(100*0.14*-1)+(100*0.01*-1)+(100+100*0.14*-1+100*0.01*-1)*AL71*-1)/100</f>
        <v>0.67240999999999995</v>
      </c>
    </row>
    <row r="86" spans="31:39" ht="39.950000000000003" hidden="1" customHeight="1" x14ac:dyDescent="0.25">
      <c r="AE86" s="39">
        <v>84</v>
      </c>
      <c r="AF86" s="44">
        <v>42</v>
      </c>
      <c r="AG86" s="63" t="s">
        <v>0</v>
      </c>
      <c r="AI86" s="40">
        <f>(BN22)</f>
        <v>1276.02</v>
      </c>
      <c r="AJ86" s="40">
        <f ca="1">(AM72+AI86)</f>
        <v>-795.81</v>
      </c>
      <c r="AK86" s="53">
        <f ca="1">(100+(100*0.00759*-1)+(100)*AL72*-1)/100</f>
        <v>0.79240999999999995</v>
      </c>
      <c r="AL86" s="53">
        <f t="shared" si="135"/>
        <v>0.84240999999999999</v>
      </c>
      <c r="AM86" s="53">
        <f ca="1">(100+(100*0.00759*-1)+(100*0.14*-1)+(100*0.01*-1)+(100+100*0.14*-1+100*0.01*-1)*AL72*-1)/100</f>
        <v>0.67240999999999995</v>
      </c>
    </row>
    <row r="87" spans="31:39" ht="39.950000000000003" hidden="1" customHeight="1" x14ac:dyDescent="0.25">
      <c r="AE87" s="39">
        <v>85</v>
      </c>
      <c r="AF87" s="44">
        <v>42.5</v>
      </c>
      <c r="AG87" s="63" t="s">
        <v>0</v>
      </c>
      <c r="AI87" s="40">
        <f>(BN23)</f>
        <v>1604.08</v>
      </c>
      <c r="AJ87" s="40">
        <f ca="1">(AM73+AI87)</f>
        <v>-405.44000000000005</v>
      </c>
      <c r="AK87" s="53">
        <f ca="1">(100+(100*0.00759*-1)+(100)*AL73*-1)/100</f>
        <v>0.79240999999999995</v>
      </c>
      <c r="AL87" s="53">
        <f t="shared" si="135"/>
        <v>0.84240999999999999</v>
      </c>
      <c r="AM87" s="53">
        <f ca="1">(100+(100*0.00759*-1)+(100*0.14*-1)+(100*0.01*-1)+(100+100*0.14*-1+100*0.01*-1)*AL73*-1)/100</f>
        <v>0.67240999999999995</v>
      </c>
    </row>
    <row r="88" spans="31:39" ht="39.950000000000003" hidden="1" customHeight="1" x14ac:dyDescent="0.25">
      <c r="AE88" s="39">
        <v>86</v>
      </c>
      <c r="AF88" s="44">
        <v>43</v>
      </c>
      <c r="AG88" s="63" t="s">
        <v>0</v>
      </c>
      <c r="AI88" s="40">
        <f>(BN24)</f>
        <v>1701.36</v>
      </c>
      <c r="AJ88" s="40">
        <f ca="1">(AM74+AI88)</f>
        <v>-370.47</v>
      </c>
      <c r="AK88" s="53">
        <f ca="1">(100+(100*0.00759*-1)+(100)*AL74*-1)/100</f>
        <v>0.79240999999999995</v>
      </c>
      <c r="AL88" s="53">
        <f t="shared" si="135"/>
        <v>0.84240999999999999</v>
      </c>
      <c r="AM88" s="53">
        <f ca="1">(100+(100*0.00759*-1)+(100*0.14*-1)+(100*0.01*-1)+(100+100*0.14*-1+100*0.01*-1)*AL74*-1)/100</f>
        <v>0.67240999999999995</v>
      </c>
    </row>
    <row r="89" spans="31:39" ht="39.950000000000003" hidden="1" customHeight="1" x14ac:dyDescent="0.25">
      <c r="AE89" s="39">
        <v>87</v>
      </c>
      <c r="AF89" s="44">
        <v>43.5</v>
      </c>
      <c r="AG89" s="63" t="s">
        <v>0</v>
      </c>
      <c r="AI89" s="40">
        <f>(BN25)</f>
        <v>1701.36</v>
      </c>
      <c r="AJ89" s="40">
        <f ca="1">(AM75+AI89)</f>
        <v>-308.16000000000008</v>
      </c>
      <c r="AK89" s="53">
        <f ca="1">(100+(100*0.00759*-1)+(100)*AL75*-1)/100</f>
        <v>0.79240999999999995</v>
      </c>
      <c r="AL89" s="53">
        <f t="shared" si="135"/>
        <v>0.84240999999999999</v>
      </c>
      <c r="AM89" s="53">
        <f ca="1">(100+(100*0.00759*-1)+(100*0.14*-1)+(100*0.01*-1)+(100+100*0.14*-1+100*0.01*-1)*AL75*-1)/100</f>
        <v>0.67240999999999995</v>
      </c>
    </row>
    <row r="90" spans="31:39" ht="39.950000000000003" hidden="1" customHeight="1" x14ac:dyDescent="0.25">
      <c r="AE90" s="39">
        <v>88</v>
      </c>
      <c r="AF90" s="44">
        <v>44</v>
      </c>
      <c r="AG90" s="63" t="s">
        <v>0</v>
      </c>
      <c r="AI90" s="40">
        <f>(BN26)</f>
        <v>1701.36</v>
      </c>
      <c r="AJ90" s="40">
        <f ca="1">(AM76+AI90)</f>
        <v>-370.47</v>
      </c>
      <c r="AK90" s="53">
        <f ca="1">(100+(100*0.00759*-1)+(100)*AL76*-1)/100</f>
        <v>0.79240999999999995</v>
      </c>
      <c r="AL90" s="53">
        <f t="shared" si="135"/>
        <v>0.84240999999999999</v>
      </c>
      <c r="AM90" s="53">
        <f ca="1">(100+(100*0.00759*-1)+(100*0.14*-1)+(100*0.01*-1)+(100+100*0.14*-1+100*0.01*-1)*AL76*-1)/100</f>
        <v>0.67240999999999995</v>
      </c>
    </row>
    <row r="91" spans="31:39" ht="39.950000000000003" hidden="1" customHeight="1" x14ac:dyDescent="0.25">
      <c r="AE91" s="39">
        <v>89</v>
      </c>
      <c r="AF91" s="44">
        <v>44.5</v>
      </c>
      <c r="AG91" s="63" t="s">
        <v>0</v>
      </c>
      <c r="AI91" s="40">
        <f t="shared" ref="AI91" si="136">(AI79+AI80+AI81+AI82+AI83+AI84+AI85+AI86+AI87+AI88+AI89+AI90)</f>
        <v>16916.320000000003</v>
      </c>
      <c r="AJ91" s="40">
        <f t="shared" ref="AJ91" ca="1" si="137">(AJ79+AJ80+AJ81+AJ82+AJ83+AJ84+AJ85+AJ86+AJ87+AJ88+AJ89+AJ90)</f>
        <v>-7747.9699999999993</v>
      </c>
      <c r="AK91" s="39" t="s">
        <v>0</v>
      </c>
      <c r="AL91" s="39" t="s">
        <v>0</v>
      </c>
      <c r="AM91" s="39" t="s">
        <v>0</v>
      </c>
    </row>
    <row r="92" spans="31:39" ht="39.950000000000003" hidden="1" customHeight="1" x14ac:dyDescent="0.25">
      <c r="AE92" s="39">
        <v>90</v>
      </c>
      <c r="AF92" s="44">
        <v>45</v>
      </c>
      <c r="AG92" s="63" t="s">
        <v>0</v>
      </c>
      <c r="AI92" s="40">
        <f t="shared" ref="AI92" si="138">(AI91/12)</f>
        <v>1409.6933333333336</v>
      </c>
      <c r="AJ92" s="40">
        <f t="shared" ref="AJ92" ca="1" si="139">(AJ91/12)</f>
        <v>-645.66416666666657</v>
      </c>
      <c r="AK92" s="48" t="s">
        <v>0</v>
      </c>
      <c r="AL92" s="48" t="s">
        <v>0</v>
      </c>
      <c r="AM92" s="48" t="s">
        <v>0</v>
      </c>
    </row>
    <row r="93" spans="31:39" ht="39.950000000000003" hidden="1" customHeight="1" x14ac:dyDescent="0.25">
      <c r="AE93" s="39">
        <v>91</v>
      </c>
      <c r="AF93" s="44">
        <v>45.5</v>
      </c>
      <c r="AG93" s="63" t="s">
        <v>0</v>
      </c>
      <c r="AI93" s="40">
        <f ca="1">(BL44)</f>
        <v>25636.017518832061</v>
      </c>
      <c r="AJ93" s="40">
        <f ca="1">(AI93*0.205)</f>
        <v>5255.3835913605726</v>
      </c>
      <c r="AK93" s="40">
        <f ca="1">(AI93*0.01)</f>
        <v>256.36017518832062</v>
      </c>
      <c r="AL93" s="40">
        <f ca="1">(AI93*0.05*-1)</f>
        <v>-1281.8008759416032</v>
      </c>
      <c r="AM93" s="40">
        <f ca="1">(AI93+AJ93+AK93+AL93)</f>
        <v>29865.960409439351</v>
      </c>
    </row>
    <row r="94" spans="31:39" ht="39.950000000000003" hidden="1" customHeight="1" x14ac:dyDescent="0.25">
      <c r="AE94" s="39">
        <v>92</v>
      </c>
      <c r="AF94" s="44">
        <v>46</v>
      </c>
      <c r="AG94" s="63" t="s">
        <v>0</v>
      </c>
      <c r="AI94" s="40">
        <f ca="1">(BL45)</f>
        <v>13540.857518832065</v>
      </c>
      <c r="AJ94" s="40">
        <f t="shared" ref="AJ94:AJ104" ca="1" si="140">(AI94*0.205)</f>
        <v>2775.8757913605732</v>
      </c>
      <c r="AK94" s="40">
        <f t="shared" ref="AK94:AK104" ca="1" si="141">(AI94*0.01)</f>
        <v>135.40857518832064</v>
      </c>
      <c r="AL94" s="40">
        <f t="shared" ref="AL94:AL104" ca="1" si="142">(AI94*0.05*-1)</f>
        <v>-677.04287594160326</v>
      </c>
      <c r="AM94" s="40">
        <f t="shared" ref="AM94:AM104" ca="1" si="143">(AI94+AJ94+AK94+AL94)</f>
        <v>15775.099009439356</v>
      </c>
    </row>
    <row r="95" spans="31:39" ht="39.950000000000003" hidden="1" customHeight="1" x14ac:dyDescent="0.25">
      <c r="AE95" s="39">
        <v>93</v>
      </c>
      <c r="AF95" s="44">
        <v>46.5</v>
      </c>
      <c r="AG95" s="63" t="s">
        <v>0</v>
      </c>
      <c r="AI95" s="40">
        <f ca="1">(BL46)</f>
        <v>25636.017518832061</v>
      </c>
      <c r="AJ95" s="40">
        <f t="shared" ca="1" si="140"/>
        <v>5255.3835913605726</v>
      </c>
      <c r="AK95" s="40">
        <f t="shared" ca="1" si="141"/>
        <v>256.36017518832062</v>
      </c>
      <c r="AL95" s="40">
        <f t="shared" ca="1" si="142"/>
        <v>-1281.8008759416032</v>
      </c>
      <c r="AM95" s="40">
        <f t="shared" ca="1" si="143"/>
        <v>29865.960409439351</v>
      </c>
    </row>
    <row r="96" spans="31:39" ht="39.950000000000003" hidden="1" customHeight="1" x14ac:dyDescent="0.25">
      <c r="AE96" s="39">
        <v>94</v>
      </c>
      <c r="AF96" s="44">
        <v>47</v>
      </c>
      <c r="AG96" s="63" t="s">
        <v>0</v>
      </c>
      <c r="AI96" s="40">
        <f ca="1">(BL47)</f>
        <v>14273.897518832064</v>
      </c>
      <c r="AJ96" s="40">
        <f t="shared" ca="1" si="140"/>
        <v>2926.1489913605728</v>
      </c>
      <c r="AK96" s="40">
        <f t="shared" ca="1" si="141"/>
        <v>142.73897518832064</v>
      </c>
      <c r="AL96" s="40">
        <f t="shared" ca="1" si="142"/>
        <v>-713.69487594160319</v>
      </c>
      <c r="AM96" s="40">
        <f t="shared" ca="1" si="143"/>
        <v>16629.090609439354</v>
      </c>
    </row>
    <row r="97" spans="31:39" ht="39.950000000000003" hidden="1" customHeight="1" x14ac:dyDescent="0.25">
      <c r="AE97" s="39">
        <v>95</v>
      </c>
      <c r="AF97" s="44">
        <v>47.5</v>
      </c>
      <c r="AG97" s="63" t="s">
        <v>0</v>
      </c>
      <c r="AI97" s="40">
        <f ca="1">(BL48)</f>
        <v>14640.417518832064</v>
      </c>
      <c r="AJ97" s="40">
        <f t="shared" ca="1" si="140"/>
        <v>3001.2855913605731</v>
      </c>
      <c r="AK97" s="40">
        <f t="shared" ca="1" si="141"/>
        <v>146.40417518832064</v>
      </c>
      <c r="AL97" s="40">
        <f t="shared" ca="1" si="142"/>
        <v>-732.02087594160321</v>
      </c>
      <c r="AM97" s="40">
        <f t="shared" ca="1" si="143"/>
        <v>17056.086409439355</v>
      </c>
    </row>
    <row r="98" spans="31:39" ht="39.950000000000003" hidden="1" customHeight="1" x14ac:dyDescent="0.25">
      <c r="AE98" s="39">
        <v>96</v>
      </c>
      <c r="AF98" s="44">
        <v>48</v>
      </c>
      <c r="AG98" s="63" t="s">
        <v>0</v>
      </c>
      <c r="AI98" s="40">
        <f ca="1">(BL49)</f>
        <v>14273.897518832064</v>
      </c>
      <c r="AJ98" s="40">
        <f t="shared" ca="1" si="140"/>
        <v>2926.1489913605728</v>
      </c>
      <c r="AK98" s="40">
        <f t="shared" ca="1" si="141"/>
        <v>142.73897518832064</v>
      </c>
      <c r="AL98" s="40">
        <f t="shared" ca="1" si="142"/>
        <v>-713.69487594160319</v>
      </c>
      <c r="AM98" s="40">
        <f t="shared" ca="1" si="143"/>
        <v>16629.090609439354</v>
      </c>
    </row>
    <row r="99" spans="31:39" ht="39.950000000000003" hidden="1" customHeight="1" x14ac:dyDescent="0.25">
      <c r="AE99" s="39">
        <v>97</v>
      </c>
      <c r="AF99" s="44">
        <v>48.5</v>
      </c>
      <c r="AG99" s="63" t="s">
        <v>0</v>
      </c>
      <c r="AI99" s="40">
        <f ca="1">(BL50)</f>
        <v>14640.417518832064</v>
      </c>
      <c r="AJ99" s="40">
        <f t="shared" ca="1" si="140"/>
        <v>3001.2855913605731</v>
      </c>
      <c r="AK99" s="40">
        <f t="shared" ca="1" si="141"/>
        <v>146.40417518832064</v>
      </c>
      <c r="AL99" s="40">
        <f t="shared" ca="1" si="142"/>
        <v>-732.02087594160321</v>
      </c>
      <c r="AM99" s="40">
        <f t="shared" ca="1" si="143"/>
        <v>17056.086409439355</v>
      </c>
    </row>
    <row r="100" spans="31:39" ht="39.950000000000003" hidden="1" customHeight="1" x14ac:dyDescent="0.25">
      <c r="AE100" s="39">
        <v>98</v>
      </c>
      <c r="AF100" s="44">
        <v>49</v>
      </c>
      <c r="AG100" s="63" t="s">
        <v>0</v>
      </c>
      <c r="AI100" s="40">
        <f ca="1">(BL51)</f>
        <v>14640.417518832064</v>
      </c>
      <c r="AJ100" s="40">
        <f t="shared" ca="1" si="140"/>
        <v>3001.2855913605731</v>
      </c>
      <c r="AK100" s="40">
        <f t="shared" ca="1" si="141"/>
        <v>146.40417518832064</v>
      </c>
      <c r="AL100" s="40">
        <f t="shared" ca="1" si="142"/>
        <v>-732.02087594160321</v>
      </c>
      <c r="AM100" s="40">
        <f t="shared" ca="1" si="143"/>
        <v>17056.086409439355</v>
      </c>
    </row>
    <row r="101" spans="31:39" ht="39.950000000000003" hidden="1" customHeight="1" x14ac:dyDescent="0.25">
      <c r="AE101" s="39">
        <v>99</v>
      </c>
      <c r="AF101" s="44">
        <v>49.5</v>
      </c>
      <c r="AG101" s="63" t="s">
        <v>0</v>
      </c>
      <c r="AI101" s="40">
        <f ca="1">(BL52)</f>
        <v>14273.897518832064</v>
      </c>
      <c r="AJ101" s="40">
        <f t="shared" ca="1" si="140"/>
        <v>2926.1489913605728</v>
      </c>
      <c r="AK101" s="40">
        <f t="shared" ca="1" si="141"/>
        <v>142.73897518832064</v>
      </c>
      <c r="AL101" s="40">
        <f t="shared" ca="1" si="142"/>
        <v>-713.69487594160319</v>
      </c>
      <c r="AM101" s="40">
        <f t="shared" ca="1" si="143"/>
        <v>16629.090609439354</v>
      </c>
    </row>
    <row r="102" spans="31:39" ht="39.950000000000003" hidden="1" customHeight="1" x14ac:dyDescent="0.25">
      <c r="AE102" s="39">
        <v>100</v>
      </c>
      <c r="AF102" s="44">
        <v>50</v>
      </c>
      <c r="AG102" s="63" t="s">
        <v>0</v>
      </c>
      <c r="AI102" s="40">
        <f ca="1">(BL53)</f>
        <v>14640.417518832064</v>
      </c>
      <c r="AJ102" s="40">
        <f t="shared" ca="1" si="140"/>
        <v>3001.2855913605731</v>
      </c>
      <c r="AK102" s="40">
        <f t="shared" ca="1" si="141"/>
        <v>146.40417518832064</v>
      </c>
      <c r="AL102" s="40">
        <f t="shared" ca="1" si="142"/>
        <v>-732.02087594160321</v>
      </c>
      <c r="AM102" s="40">
        <f t="shared" ca="1" si="143"/>
        <v>17056.086409439355</v>
      </c>
    </row>
    <row r="103" spans="31:39" ht="39.950000000000003" hidden="1" customHeight="1" x14ac:dyDescent="0.25">
      <c r="AE103" s="39">
        <v>101</v>
      </c>
      <c r="AF103" s="44">
        <v>50.5</v>
      </c>
      <c r="AG103" s="63" t="s">
        <v>0</v>
      </c>
      <c r="AI103" s="40">
        <f ca="1">(BL54)</f>
        <v>14273.897518832064</v>
      </c>
      <c r="AJ103" s="40">
        <f t="shared" ca="1" si="140"/>
        <v>2926.1489913605728</v>
      </c>
      <c r="AK103" s="40">
        <f t="shared" ca="1" si="141"/>
        <v>142.73897518832064</v>
      </c>
      <c r="AL103" s="40">
        <f t="shared" ca="1" si="142"/>
        <v>-713.69487594160319</v>
      </c>
      <c r="AM103" s="40">
        <f t="shared" ca="1" si="143"/>
        <v>16629.090609439354</v>
      </c>
    </row>
    <row r="104" spans="31:39" ht="39.950000000000003" hidden="1" customHeight="1" x14ac:dyDescent="0.25">
      <c r="AE104" s="39">
        <v>102</v>
      </c>
      <c r="AF104" s="44">
        <v>51</v>
      </c>
      <c r="AG104" s="63" t="s">
        <v>0</v>
      </c>
      <c r="AI104" s="40">
        <f ca="1">(BL55)</f>
        <v>14640.417518832064</v>
      </c>
      <c r="AJ104" s="40">
        <f t="shared" ca="1" si="140"/>
        <v>3001.2855913605731</v>
      </c>
      <c r="AK104" s="40">
        <f t="shared" ca="1" si="141"/>
        <v>146.40417518832064</v>
      </c>
      <c r="AL104" s="40">
        <f t="shared" ca="1" si="142"/>
        <v>-732.02087594160321</v>
      </c>
      <c r="AM104" s="40">
        <f t="shared" ca="1" si="143"/>
        <v>17056.086409439355</v>
      </c>
    </row>
    <row r="105" spans="31:39" ht="39.950000000000003" hidden="1" customHeight="1" x14ac:dyDescent="0.25">
      <c r="AE105" s="39">
        <v>103</v>
      </c>
      <c r="AF105" s="44">
        <v>51.5</v>
      </c>
      <c r="AG105" s="63" t="s">
        <v>0</v>
      </c>
      <c r="AI105" s="40">
        <f t="shared" ref="AI105" ca="1" si="144">(AI93+AI94+AI95+AI96+AI97+AI98+AI99+AI100+AI101+AI102+AI103+AI104)</f>
        <v>195110.57022598473</v>
      </c>
      <c r="AJ105" s="40">
        <f t="shared" ref="AJ105" ca="1" si="145">(AJ93+AJ94+AJ95+AJ96+AJ97+AJ98+AJ99+AJ100+AJ101+AJ102+AJ103+AJ104)</f>
        <v>39997.666896326875</v>
      </c>
      <c r="AK105" s="40">
        <f t="shared" ref="AK105" ca="1" si="146">(AK93+AK94+AK95+AK96+AK97+AK98+AK99+AK100+AK101+AK102+AK103+AK104)</f>
        <v>1951.1057022598475</v>
      </c>
      <c r="AL105" s="40">
        <f t="shared" ref="AL105" ca="1" si="147">(AL93+AL94+AL95+AL96+AL97+AL98+AL99+AL100+AL101+AL102+AL103+AL104)</f>
        <v>-9755.5285112992387</v>
      </c>
      <c r="AM105" s="40">
        <f t="shared" ref="AM105" ca="1" si="148">(AM93+AM94+AM95+AM96+AM97+AM98+AM99+AM100+AM101+AM102+AM103+AM104)</f>
        <v>227303.81431327231</v>
      </c>
    </row>
    <row r="106" spans="31:39" ht="39.950000000000003" hidden="1" customHeight="1" x14ac:dyDescent="0.25">
      <c r="AE106" s="39">
        <v>104</v>
      </c>
      <c r="AF106" s="44">
        <v>52</v>
      </c>
      <c r="AG106" s="63" t="s">
        <v>0</v>
      </c>
      <c r="AI106" s="40">
        <f t="shared" ref="AI106" ca="1" si="149">(AI105/12)</f>
        <v>16259.214185498728</v>
      </c>
      <c r="AJ106" s="40">
        <f t="shared" ref="AJ106" ca="1" si="150">(AJ105/12)</f>
        <v>3333.1389080272397</v>
      </c>
      <c r="AK106" s="40">
        <f t="shared" ref="AK106" ca="1" si="151">(AK105/12)</f>
        <v>162.59214185498729</v>
      </c>
      <c r="AL106" s="40">
        <f t="shared" ref="AL106" ca="1" si="152">(AL105/12)</f>
        <v>-812.96070927493656</v>
      </c>
      <c r="AM106" s="40">
        <f t="shared" ref="AM106" ca="1" si="153">(AM105/12)</f>
        <v>18941.984526106025</v>
      </c>
    </row>
    <row r="107" spans="31:39" ht="39.950000000000003" hidden="1" customHeight="1" x14ac:dyDescent="0.25">
      <c r="AE107" s="39">
        <v>105</v>
      </c>
      <c r="AF107" s="44">
        <v>52.5</v>
      </c>
      <c r="AG107" s="63" t="s">
        <v>0</v>
      </c>
    </row>
    <row r="108" spans="31:39" ht="39.950000000000003" hidden="1" customHeight="1" x14ac:dyDescent="0.25">
      <c r="AE108" s="39">
        <v>106</v>
      </c>
      <c r="AF108" s="44">
        <v>53</v>
      </c>
      <c r="AG108" s="63" t="s">
        <v>0</v>
      </c>
    </row>
    <row r="109" spans="31:39" ht="39.950000000000003" hidden="1" customHeight="1" x14ac:dyDescent="0.25">
      <c r="AE109" s="39">
        <v>107</v>
      </c>
      <c r="AF109" s="44">
        <v>53.5</v>
      </c>
      <c r="AG109" s="63" t="s">
        <v>0</v>
      </c>
    </row>
    <row r="110" spans="31:39" ht="39.950000000000003" hidden="1" customHeight="1" x14ac:dyDescent="0.25">
      <c r="AE110" s="39">
        <v>108</v>
      </c>
      <c r="AF110" s="44">
        <v>54</v>
      </c>
      <c r="AG110" s="63" t="s">
        <v>0</v>
      </c>
    </row>
    <row r="111" spans="31:39" ht="39.950000000000003" hidden="1" customHeight="1" x14ac:dyDescent="0.25">
      <c r="AE111" s="39">
        <v>109</v>
      </c>
      <c r="AF111" s="44">
        <v>54.5</v>
      </c>
      <c r="AG111" s="63" t="s">
        <v>0</v>
      </c>
    </row>
    <row r="112" spans="31:39" ht="39.950000000000003" hidden="1" customHeight="1" x14ac:dyDescent="0.25">
      <c r="AE112" s="39">
        <v>110</v>
      </c>
      <c r="AF112" s="44">
        <v>55</v>
      </c>
      <c r="AG112" s="63" t="s">
        <v>0</v>
      </c>
    </row>
    <row r="113" spans="31:33" ht="39.950000000000003" hidden="1" customHeight="1" x14ac:dyDescent="0.25">
      <c r="AE113" s="39">
        <v>111</v>
      </c>
      <c r="AF113" s="44">
        <v>55.5</v>
      </c>
      <c r="AG113" s="63" t="s">
        <v>0</v>
      </c>
    </row>
    <row r="114" spans="31:33" ht="39.950000000000003" hidden="1" customHeight="1" x14ac:dyDescent="0.25">
      <c r="AE114" s="39">
        <v>112</v>
      </c>
      <c r="AF114" s="44">
        <v>56</v>
      </c>
      <c r="AG114" s="63" t="s">
        <v>0</v>
      </c>
    </row>
    <row r="115" spans="31:33" ht="39.950000000000003" hidden="1" customHeight="1" x14ac:dyDescent="0.25">
      <c r="AE115" s="39">
        <v>113</v>
      </c>
      <c r="AF115" s="44">
        <v>56.5</v>
      </c>
      <c r="AG115" s="63" t="s">
        <v>0</v>
      </c>
    </row>
    <row r="116" spans="31:33" ht="39.950000000000003" hidden="1" customHeight="1" x14ac:dyDescent="0.25">
      <c r="AE116" s="39">
        <v>114</v>
      </c>
      <c r="AF116" s="44">
        <v>57</v>
      </c>
      <c r="AG116" s="63" t="s">
        <v>0</v>
      </c>
    </row>
    <row r="117" spans="31:33" ht="39.950000000000003" hidden="1" customHeight="1" x14ac:dyDescent="0.25">
      <c r="AE117" s="39">
        <v>115</v>
      </c>
      <c r="AF117" s="44">
        <v>57.5</v>
      </c>
      <c r="AG117" s="63" t="s">
        <v>0</v>
      </c>
    </row>
    <row r="118" spans="31:33" ht="39.950000000000003" hidden="1" customHeight="1" x14ac:dyDescent="0.25">
      <c r="AE118" s="39">
        <v>116</v>
      </c>
      <c r="AF118" s="44">
        <v>58</v>
      </c>
      <c r="AG118" s="63" t="s">
        <v>0</v>
      </c>
    </row>
    <row r="119" spans="31:33" ht="39.950000000000003" hidden="1" customHeight="1" x14ac:dyDescent="0.25">
      <c r="AE119" s="39">
        <v>117</v>
      </c>
      <c r="AF119" s="44">
        <v>58.5</v>
      </c>
      <c r="AG119" s="63" t="s">
        <v>0</v>
      </c>
    </row>
    <row r="120" spans="31:33" ht="39.950000000000003" hidden="1" customHeight="1" x14ac:dyDescent="0.25">
      <c r="AE120" s="39">
        <v>118</v>
      </c>
      <c r="AF120" s="44">
        <v>59</v>
      </c>
      <c r="AG120" s="63" t="s">
        <v>0</v>
      </c>
    </row>
    <row r="121" spans="31:33" ht="39.950000000000003" hidden="1" customHeight="1" x14ac:dyDescent="0.25">
      <c r="AE121" s="39">
        <v>119</v>
      </c>
      <c r="AF121" s="44">
        <v>59.5</v>
      </c>
      <c r="AG121" s="63" t="s">
        <v>0</v>
      </c>
    </row>
    <row r="122" spans="31:33" ht="39.950000000000003" hidden="1" customHeight="1" x14ac:dyDescent="0.25">
      <c r="AE122" s="39">
        <v>120</v>
      </c>
      <c r="AF122" s="44">
        <v>60</v>
      </c>
      <c r="AG122" s="63" t="s">
        <v>0</v>
      </c>
    </row>
    <row r="123" spans="31:33" ht="39.950000000000003" hidden="1" customHeight="1" x14ac:dyDescent="0.25">
      <c r="AE123" s="39">
        <v>121</v>
      </c>
      <c r="AF123" s="44">
        <v>60.5</v>
      </c>
      <c r="AG123" s="63" t="s">
        <v>0</v>
      </c>
    </row>
    <row r="124" spans="31:33" ht="39.950000000000003" hidden="1" customHeight="1" x14ac:dyDescent="0.25">
      <c r="AE124" s="39">
        <v>122</v>
      </c>
      <c r="AF124" s="44">
        <v>61</v>
      </c>
      <c r="AG124" s="63" t="s">
        <v>0</v>
      </c>
    </row>
    <row r="125" spans="31:33" ht="39.950000000000003" hidden="1" customHeight="1" x14ac:dyDescent="0.25">
      <c r="AE125" s="39">
        <v>123</v>
      </c>
      <c r="AF125" s="44">
        <v>61.5</v>
      </c>
      <c r="AG125" s="63" t="s">
        <v>0</v>
      </c>
    </row>
    <row r="126" spans="31:33" ht="39.950000000000003" hidden="1" customHeight="1" x14ac:dyDescent="0.25">
      <c r="AE126" s="39">
        <v>124</v>
      </c>
      <c r="AF126" s="44">
        <v>62</v>
      </c>
      <c r="AG126" s="63" t="s">
        <v>0</v>
      </c>
    </row>
    <row r="127" spans="31:33" ht="39.950000000000003" hidden="1" customHeight="1" x14ac:dyDescent="0.25">
      <c r="AE127" s="39">
        <v>125</v>
      </c>
      <c r="AF127" s="44">
        <v>62.5</v>
      </c>
      <c r="AG127" s="63" t="s">
        <v>0</v>
      </c>
    </row>
    <row r="128" spans="31:33" ht="39.950000000000003" hidden="1" customHeight="1" x14ac:dyDescent="0.25">
      <c r="AE128" s="39">
        <v>126</v>
      </c>
      <c r="AF128" s="44">
        <v>63</v>
      </c>
      <c r="AG128" s="63" t="s">
        <v>0</v>
      </c>
    </row>
    <row r="129" spans="31:33" ht="39.950000000000003" hidden="1" customHeight="1" x14ac:dyDescent="0.25">
      <c r="AE129" s="39">
        <v>127</v>
      </c>
      <c r="AF129" s="44">
        <v>63.5</v>
      </c>
      <c r="AG129" s="63" t="s">
        <v>0</v>
      </c>
    </row>
    <row r="130" spans="31:33" ht="39.950000000000003" hidden="1" customHeight="1" x14ac:dyDescent="0.25">
      <c r="AE130" s="39">
        <v>128</v>
      </c>
      <c r="AF130" s="44">
        <v>64</v>
      </c>
      <c r="AG130" s="63" t="s">
        <v>0</v>
      </c>
    </row>
    <row r="131" spans="31:33" ht="39.950000000000003" hidden="1" customHeight="1" x14ac:dyDescent="0.25">
      <c r="AE131" s="39">
        <v>129</v>
      </c>
      <c r="AF131" s="44">
        <v>64.5</v>
      </c>
      <c r="AG131" s="63" t="s">
        <v>0</v>
      </c>
    </row>
    <row r="132" spans="31:33" ht="39.950000000000003" hidden="1" customHeight="1" x14ac:dyDescent="0.25">
      <c r="AE132" s="39">
        <v>130</v>
      </c>
      <c r="AF132" s="44">
        <v>65</v>
      </c>
      <c r="AG132" s="63" t="s">
        <v>0</v>
      </c>
    </row>
    <row r="133" spans="31:33" ht="39.950000000000003" hidden="1" customHeight="1" x14ac:dyDescent="0.25">
      <c r="AE133" s="39">
        <v>131</v>
      </c>
      <c r="AF133" s="44">
        <v>65.5</v>
      </c>
      <c r="AG133" s="63" t="s">
        <v>0</v>
      </c>
    </row>
    <row r="134" spans="31:33" ht="39.950000000000003" hidden="1" customHeight="1" x14ac:dyDescent="0.25">
      <c r="AE134" s="39">
        <v>132</v>
      </c>
      <c r="AF134" s="44">
        <v>66</v>
      </c>
      <c r="AG134" s="63" t="s">
        <v>0</v>
      </c>
    </row>
    <row r="135" spans="31:33" ht="39.950000000000003" hidden="1" customHeight="1" x14ac:dyDescent="0.25">
      <c r="AE135" s="39">
        <v>133</v>
      </c>
      <c r="AF135" s="44">
        <v>66.5</v>
      </c>
      <c r="AG135" s="63" t="s">
        <v>0</v>
      </c>
    </row>
    <row r="136" spans="31:33" ht="39.950000000000003" hidden="1" customHeight="1" x14ac:dyDescent="0.25">
      <c r="AE136" s="39">
        <v>134</v>
      </c>
      <c r="AF136" s="44">
        <v>67</v>
      </c>
      <c r="AG136" s="63" t="s">
        <v>0</v>
      </c>
    </row>
    <row r="137" spans="31:33" ht="39.950000000000003" hidden="1" customHeight="1" x14ac:dyDescent="0.25">
      <c r="AE137" s="39">
        <v>135</v>
      </c>
      <c r="AF137" s="44">
        <v>67.5</v>
      </c>
      <c r="AG137" s="63" t="s">
        <v>0</v>
      </c>
    </row>
    <row r="138" spans="31:33" ht="39.950000000000003" hidden="1" customHeight="1" x14ac:dyDescent="0.25">
      <c r="AE138" s="39">
        <v>136</v>
      </c>
      <c r="AF138" s="44">
        <v>68</v>
      </c>
      <c r="AG138" s="63" t="s">
        <v>0</v>
      </c>
    </row>
    <row r="139" spans="31:33" ht="39.950000000000003" hidden="1" customHeight="1" x14ac:dyDescent="0.25">
      <c r="AE139" s="39">
        <v>137</v>
      </c>
      <c r="AF139" s="44">
        <v>68.5</v>
      </c>
      <c r="AG139" s="63" t="s">
        <v>0</v>
      </c>
    </row>
    <row r="140" spans="31:33" ht="39.950000000000003" hidden="1" customHeight="1" x14ac:dyDescent="0.25">
      <c r="AE140" s="39">
        <v>138</v>
      </c>
      <c r="AF140" s="44">
        <v>69</v>
      </c>
      <c r="AG140" s="63" t="s">
        <v>0</v>
      </c>
    </row>
    <row r="141" spans="31:33" ht="39.950000000000003" hidden="1" customHeight="1" x14ac:dyDescent="0.25">
      <c r="AE141" s="39">
        <v>139</v>
      </c>
      <c r="AF141" s="44">
        <v>69.5</v>
      </c>
      <c r="AG141" s="63" t="s">
        <v>0</v>
      </c>
    </row>
    <row r="142" spans="31:33" ht="39.950000000000003" hidden="1" customHeight="1" x14ac:dyDescent="0.25">
      <c r="AE142" s="39">
        <v>140</v>
      </c>
      <c r="AF142" s="44">
        <v>70</v>
      </c>
      <c r="AG142" s="63" t="s">
        <v>0</v>
      </c>
    </row>
    <row r="143" spans="31:33" ht="39.950000000000003" hidden="1" customHeight="1" x14ac:dyDescent="0.25">
      <c r="AE143" s="39">
        <v>141</v>
      </c>
      <c r="AF143" s="44">
        <v>70.5</v>
      </c>
      <c r="AG143" s="63" t="s">
        <v>0</v>
      </c>
    </row>
    <row r="144" spans="31:33" ht="39.950000000000003" hidden="1" customHeight="1" x14ac:dyDescent="0.25">
      <c r="AE144" s="39">
        <v>142</v>
      </c>
      <c r="AF144" s="44">
        <v>71</v>
      </c>
      <c r="AG144" s="63" t="s">
        <v>0</v>
      </c>
    </row>
    <row r="145" spans="31:33" ht="39.950000000000003" hidden="1" customHeight="1" x14ac:dyDescent="0.25">
      <c r="AE145" s="39">
        <v>143</v>
      </c>
      <c r="AF145" s="44">
        <v>71.5</v>
      </c>
      <c r="AG145" s="63" t="s">
        <v>0</v>
      </c>
    </row>
    <row r="146" spans="31:33" ht="39.950000000000003" hidden="1" customHeight="1" x14ac:dyDescent="0.25">
      <c r="AE146" s="39">
        <v>144</v>
      </c>
      <c r="AF146" s="44">
        <v>72</v>
      </c>
      <c r="AG146" s="63" t="s">
        <v>0</v>
      </c>
    </row>
    <row r="147" spans="31:33" ht="39.950000000000003" hidden="1" customHeight="1" x14ac:dyDescent="0.25">
      <c r="AE147" s="39">
        <v>145</v>
      </c>
      <c r="AF147" s="44">
        <v>72.5</v>
      </c>
      <c r="AG147" s="63" t="s">
        <v>0</v>
      </c>
    </row>
    <row r="148" spans="31:33" ht="39.950000000000003" hidden="1" customHeight="1" x14ac:dyDescent="0.25">
      <c r="AE148" s="39">
        <v>146</v>
      </c>
      <c r="AF148" s="44">
        <v>73</v>
      </c>
      <c r="AG148" s="63" t="s">
        <v>0</v>
      </c>
    </row>
    <row r="149" spans="31:33" ht="39.950000000000003" hidden="1" customHeight="1" x14ac:dyDescent="0.25">
      <c r="AE149" s="39">
        <v>147</v>
      </c>
      <c r="AF149" s="44">
        <v>73.5</v>
      </c>
      <c r="AG149" s="63" t="s">
        <v>0</v>
      </c>
    </row>
    <row r="150" spans="31:33" ht="39.950000000000003" hidden="1" customHeight="1" x14ac:dyDescent="0.25">
      <c r="AE150" s="39">
        <v>148</v>
      </c>
      <c r="AF150" s="44">
        <v>74</v>
      </c>
      <c r="AG150" s="63" t="s">
        <v>0</v>
      </c>
    </row>
    <row r="151" spans="31:33" ht="39.950000000000003" hidden="1" customHeight="1" x14ac:dyDescent="0.25">
      <c r="AE151" s="39">
        <v>149</v>
      </c>
      <c r="AF151" s="44">
        <v>74.5</v>
      </c>
      <c r="AG151" s="63" t="s">
        <v>0</v>
      </c>
    </row>
    <row r="152" spans="31:33" ht="39.950000000000003" hidden="1" customHeight="1" x14ac:dyDescent="0.25">
      <c r="AE152" s="39">
        <v>150</v>
      </c>
      <c r="AF152" s="44">
        <v>75</v>
      </c>
      <c r="AG152" s="63" t="s">
        <v>0</v>
      </c>
    </row>
    <row r="153" spans="31:33" ht="39.950000000000003" hidden="1" customHeight="1" x14ac:dyDescent="0.25">
      <c r="AE153" s="39">
        <v>151</v>
      </c>
      <c r="AF153" s="44">
        <v>75.5</v>
      </c>
      <c r="AG153" s="63" t="s">
        <v>0</v>
      </c>
    </row>
    <row r="154" spans="31:33" ht="39.950000000000003" hidden="1" customHeight="1" x14ac:dyDescent="0.25">
      <c r="AE154" s="39">
        <v>152</v>
      </c>
      <c r="AF154" s="44">
        <v>76</v>
      </c>
      <c r="AG154" s="63" t="s">
        <v>0</v>
      </c>
    </row>
    <row r="155" spans="31:33" ht="39.950000000000003" hidden="1" customHeight="1" x14ac:dyDescent="0.25">
      <c r="AE155" s="39">
        <v>153</v>
      </c>
      <c r="AF155" s="44">
        <v>76.5</v>
      </c>
      <c r="AG155" s="63" t="s">
        <v>0</v>
      </c>
    </row>
    <row r="156" spans="31:33" ht="39.950000000000003" hidden="1" customHeight="1" x14ac:dyDescent="0.25">
      <c r="AE156" s="39">
        <v>154</v>
      </c>
      <c r="AF156" s="44">
        <v>77</v>
      </c>
      <c r="AG156" s="63" t="s">
        <v>0</v>
      </c>
    </row>
    <row r="157" spans="31:33" ht="39.950000000000003" hidden="1" customHeight="1" x14ac:dyDescent="0.25">
      <c r="AE157" s="39">
        <v>155</v>
      </c>
      <c r="AF157" s="44">
        <v>77.5</v>
      </c>
      <c r="AG157" s="63" t="s">
        <v>0</v>
      </c>
    </row>
    <row r="158" spans="31:33" ht="39.950000000000003" hidden="1" customHeight="1" x14ac:dyDescent="0.25">
      <c r="AE158" s="39">
        <v>156</v>
      </c>
      <c r="AF158" s="44">
        <v>78</v>
      </c>
      <c r="AG158" s="63" t="s">
        <v>0</v>
      </c>
    </row>
    <row r="159" spans="31:33" ht="39.950000000000003" hidden="1" customHeight="1" x14ac:dyDescent="0.25">
      <c r="AE159" s="39">
        <v>157</v>
      </c>
      <c r="AF159" s="44">
        <v>78.5</v>
      </c>
      <c r="AG159" s="63" t="s">
        <v>0</v>
      </c>
    </row>
    <row r="160" spans="31:33" ht="39.950000000000003" hidden="1" customHeight="1" x14ac:dyDescent="0.25">
      <c r="AE160" s="39">
        <v>158</v>
      </c>
      <c r="AF160" s="44">
        <v>79</v>
      </c>
      <c r="AG160" s="63" t="s">
        <v>0</v>
      </c>
    </row>
    <row r="161" spans="31:33" ht="39.950000000000003" hidden="1" customHeight="1" x14ac:dyDescent="0.25">
      <c r="AE161" s="39">
        <v>159</v>
      </c>
      <c r="AF161" s="44">
        <v>79.5</v>
      </c>
      <c r="AG161" s="63" t="s">
        <v>0</v>
      </c>
    </row>
    <row r="162" spans="31:33" ht="39.950000000000003" hidden="1" customHeight="1" x14ac:dyDescent="0.25">
      <c r="AE162" s="39">
        <v>160</v>
      </c>
      <c r="AF162" s="44">
        <v>80</v>
      </c>
      <c r="AG162" s="63" t="s">
        <v>0</v>
      </c>
    </row>
    <row r="163" spans="31:33" ht="39.950000000000003" hidden="1" customHeight="1" x14ac:dyDescent="0.25">
      <c r="AE163" s="39">
        <v>161</v>
      </c>
      <c r="AF163" s="44">
        <v>80.5</v>
      </c>
      <c r="AG163" s="63" t="s">
        <v>0</v>
      </c>
    </row>
    <row r="164" spans="31:33" ht="39.950000000000003" hidden="1" customHeight="1" x14ac:dyDescent="0.25">
      <c r="AE164" s="39">
        <v>162</v>
      </c>
      <c r="AF164" s="44">
        <v>81</v>
      </c>
      <c r="AG164" s="63" t="s">
        <v>0</v>
      </c>
    </row>
    <row r="165" spans="31:33" ht="39.950000000000003" hidden="1" customHeight="1" x14ac:dyDescent="0.25">
      <c r="AE165" s="39">
        <v>163</v>
      </c>
      <c r="AF165" s="44">
        <v>81.5</v>
      </c>
      <c r="AG165" s="63" t="s">
        <v>0</v>
      </c>
    </row>
    <row r="166" spans="31:33" ht="39.950000000000003" hidden="1" customHeight="1" x14ac:dyDescent="0.25">
      <c r="AE166" s="39">
        <v>164</v>
      </c>
      <c r="AF166" s="44">
        <v>82</v>
      </c>
      <c r="AG166" s="63" t="s">
        <v>0</v>
      </c>
    </row>
    <row r="167" spans="31:33" ht="39.950000000000003" hidden="1" customHeight="1" x14ac:dyDescent="0.25">
      <c r="AE167" s="39">
        <v>165</v>
      </c>
      <c r="AF167" s="44">
        <v>82.5</v>
      </c>
      <c r="AG167" s="63" t="s">
        <v>0</v>
      </c>
    </row>
    <row r="168" spans="31:33" ht="39.950000000000003" hidden="1" customHeight="1" x14ac:dyDescent="0.25">
      <c r="AE168" s="39">
        <v>166</v>
      </c>
      <c r="AF168" s="44">
        <v>83</v>
      </c>
      <c r="AG168" s="63" t="s">
        <v>0</v>
      </c>
    </row>
    <row r="169" spans="31:33" ht="39.950000000000003" hidden="1" customHeight="1" x14ac:dyDescent="0.25">
      <c r="AE169" s="39">
        <v>167</v>
      </c>
      <c r="AF169" s="44">
        <v>83.5</v>
      </c>
      <c r="AG169" s="63" t="s">
        <v>0</v>
      </c>
    </row>
    <row r="170" spans="31:33" ht="39.950000000000003" hidden="1" customHeight="1" x14ac:dyDescent="0.25">
      <c r="AE170" s="39">
        <v>168</v>
      </c>
      <c r="AF170" s="44">
        <v>84</v>
      </c>
      <c r="AG170" s="63" t="s">
        <v>0</v>
      </c>
    </row>
    <row r="171" spans="31:33" ht="39.950000000000003" hidden="1" customHeight="1" x14ac:dyDescent="0.25">
      <c r="AE171" s="39">
        <v>169</v>
      </c>
      <c r="AF171" s="44">
        <v>84.5</v>
      </c>
      <c r="AG171" s="63" t="s">
        <v>0</v>
      </c>
    </row>
    <row r="172" spans="31:33" ht="39.950000000000003" hidden="1" customHeight="1" x14ac:dyDescent="0.25">
      <c r="AE172" s="39">
        <v>170</v>
      </c>
      <c r="AF172" s="44">
        <v>85</v>
      </c>
      <c r="AG172" s="63" t="s">
        <v>0</v>
      </c>
    </row>
    <row r="173" spans="31:33" ht="39.950000000000003" hidden="1" customHeight="1" x14ac:dyDescent="0.25">
      <c r="AE173" s="39">
        <v>171</v>
      </c>
      <c r="AF173" s="44">
        <v>85.5</v>
      </c>
      <c r="AG173" s="63" t="s">
        <v>0</v>
      </c>
    </row>
    <row r="174" spans="31:33" ht="39.950000000000003" hidden="1" customHeight="1" x14ac:dyDescent="0.25">
      <c r="AE174" s="39">
        <v>172</v>
      </c>
      <c r="AF174" s="44">
        <v>86</v>
      </c>
      <c r="AG174" s="63" t="s">
        <v>0</v>
      </c>
    </row>
    <row r="175" spans="31:33" ht="39.950000000000003" hidden="1" customHeight="1" x14ac:dyDescent="0.25">
      <c r="AE175" s="39">
        <v>173</v>
      </c>
      <c r="AF175" s="44">
        <v>86.5</v>
      </c>
      <c r="AG175" s="63" t="s">
        <v>0</v>
      </c>
    </row>
    <row r="176" spans="31:33" ht="39.950000000000003" hidden="1" customHeight="1" x14ac:dyDescent="0.25">
      <c r="AE176" s="39">
        <v>174</v>
      </c>
      <c r="AF176" s="44">
        <v>87</v>
      </c>
      <c r="AG176" s="63" t="s">
        <v>0</v>
      </c>
    </row>
    <row r="177" spans="31:33" ht="39.950000000000003" hidden="1" customHeight="1" x14ac:dyDescent="0.25">
      <c r="AE177" s="39">
        <v>175</v>
      </c>
      <c r="AF177" s="44">
        <v>87.5</v>
      </c>
      <c r="AG177" s="63" t="s">
        <v>0</v>
      </c>
    </row>
    <row r="178" spans="31:33" ht="39.950000000000003" hidden="1" customHeight="1" x14ac:dyDescent="0.25">
      <c r="AE178" s="39">
        <v>176</v>
      </c>
      <c r="AF178" s="44">
        <v>88</v>
      </c>
      <c r="AG178" s="63" t="s">
        <v>0</v>
      </c>
    </row>
    <row r="179" spans="31:33" ht="39.950000000000003" hidden="1" customHeight="1" x14ac:dyDescent="0.25">
      <c r="AE179" s="39">
        <v>177</v>
      </c>
      <c r="AF179" s="44">
        <v>88.5</v>
      </c>
      <c r="AG179" s="63" t="s">
        <v>0</v>
      </c>
    </row>
    <row r="180" spans="31:33" ht="39.950000000000003" hidden="1" customHeight="1" x14ac:dyDescent="0.25">
      <c r="AE180" s="39">
        <v>178</v>
      </c>
      <c r="AF180" s="44">
        <v>89</v>
      </c>
      <c r="AG180" s="63" t="s">
        <v>0</v>
      </c>
    </row>
    <row r="181" spans="31:33" ht="39.950000000000003" hidden="1" customHeight="1" x14ac:dyDescent="0.25">
      <c r="AE181" s="39">
        <v>179</v>
      </c>
      <c r="AF181" s="44">
        <v>89.5</v>
      </c>
      <c r="AG181" s="63" t="s">
        <v>0</v>
      </c>
    </row>
    <row r="182" spans="31:33" ht="39.950000000000003" hidden="1" customHeight="1" x14ac:dyDescent="0.25">
      <c r="AE182" s="39">
        <v>180</v>
      </c>
      <c r="AF182" s="44">
        <v>90</v>
      </c>
      <c r="AG182" s="63" t="s">
        <v>0</v>
      </c>
    </row>
    <row r="183" spans="31:33" ht="39.950000000000003" hidden="1" customHeight="1" x14ac:dyDescent="0.25">
      <c r="AE183" s="39">
        <v>181</v>
      </c>
      <c r="AF183" s="44">
        <v>90.5</v>
      </c>
      <c r="AG183" s="63" t="s">
        <v>0</v>
      </c>
    </row>
    <row r="184" spans="31:33" ht="39.950000000000003" hidden="1" customHeight="1" x14ac:dyDescent="0.25">
      <c r="AE184" s="39">
        <v>182</v>
      </c>
      <c r="AF184" s="44">
        <v>91</v>
      </c>
      <c r="AG184" s="63" t="s">
        <v>0</v>
      </c>
    </row>
    <row r="185" spans="31:33" ht="39.950000000000003" hidden="1" customHeight="1" x14ac:dyDescent="0.25">
      <c r="AE185" s="39">
        <v>183</v>
      </c>
      <c r="AF185" s="44">
        <v>91.5</v>
      </c>
      <c r="AG185" s="63" t="s">
        <v>0</v>
      </c>
    </row>
    <row r="186" spans="31:33" ht="39.950000000000003" hidden="1" customHeight="1" x14ac:dyDescent="0.25">
      <c r="AE186" s="39">
        <v>184</v>
      </c>
      <c r="AF186" s="44">
        <v>92</v>
      </c>
      <c r="AG186" s="63" t="s">
        <v>0</v>
      </c>
    </row>
    <row r="187" spans="31:33" ht="39.950000000000003" hidden="1" customHeight="1" x14ac:dyDescent="0.25">
      <c r="AE187" s="39">
        <v>185</v>
      </c>
      <c r="AF187" s="44">
        <v>92.5</v>
      </c>
      <c r="AG187" s="63" t="s">
        <v>0</v>
      </c>
    </row>
    <row r="188" spans="31:33" ht="39.950000000000003" hidden="1" customHeight="1" x14ac:dyDescent="0.25">
      <c r="AE188" s="39">
        <v>186</v>
      </c>
      <c r="AF188" s="44">
        <v>93</v>
      </c>
      <c r="AG188" s="63" t="s">
        <v>0</v>
      </c>
    </row>
    <row r="189" spans="31:33" ht="39.950000000000003" hidden="1" customHeight="1" x14ac:dyDescent="0.25">
      <c r="AE189" s="39">
        <v>187</v>
      </c>
      <c r="AF189" s="44">
        <v>93.5</v>
      </c>
      <c r="AG189" s="63" t="s">
        <v>0</v>
      </c>
    </row>
    <row r="190" spans="31:33" ht="39.950000000000003" hidden="1" customHeight="1" x14ac:dyDescent="0.25">
      <c r="AE190" s="39">
        <v>188</v>
      </c>
      <c r="AF190" s="44">
        <v>94</v>
      </c>
      <c r="AG190" s="63" t="s">
        <v>0</v>
      </c>
    </row>
    <row r="191" spans="31:33" ht="39.950000000000003" hidden="1" customHeight="1" x14ac:dyDescent="0.25">
      <c r="AE191" s="39">
        <v>189</v>
      </c>
      <c r="AF191" s="44">
        <v>94.5</v>
      </c>
      <c r="AG191" s="63" t="s">
        <v>0</v>
      </c>
    </row>
    <row r="192" spans="31:33" ht="39.950000000000003" hidden="1" customHeight="1" x14ac:dyDescent="0.25">
      <c r="AE192" s="39">
        <v>190</v>
      </c>
      <c r="AF192" s="44">
        <v>95</v>
      </c>
      <c r="AG192" s="63" t="s">
        <v>0</v>
      </c>
    </row>
    <row r="193" spans="31:33" ht="39.950000000000003" hidden="1" customHeight="1" x14ac:dyDescent="0.25">
      <c r="AE193" s="39">
        <v>191</v>
      </c>
      <c r="AF193" s="44">
        <v>95.5</v>
      </c>
      <c r="AG193" s="63" t="s">
        <v>0</v>
      </c>
    </row>
    <row r="194" spans="31:33" ht="39.950000000000003" hidden="1" customHeight="1" x14ac:dyDescent="0.25">
      <c r="AE194" s="39">
        <v>192</v>
      </c>
      <c r="AF194" s="44">
        <v>96</v>
      </c>
      <c r="AG194" s="63" t="s">
        <v>0</v>
      </c>
    </row>
    <row r="195" spans="31:33" ht="39.950000000000003" hidden="1" customHeight="1" x14ac:dyDescent="0.25">
      <c r="AE195" s="39">
        <v>193</v>
      </c>
      <c r="AF195" s="44">
        <v>96.5</v>
      </c>
      <c r="AG195" s="63" t="s">
        <v>0</v>
      </c>
    </row>
    <row r="196" spans="31:33" ht="39.950000000000003" hidden="1" customHeight="1" x14ac:dyDescent="0.25">
      <c r="AE196" s="39">
        <v>194</v>
      </c>
      <c r="AF196" s="44">
        <v>97</v>
      </c>
      <c r="AG196" s="63" t="s">
        <v>0</v>
      </c>
    </row>
    <row r="197" spans="31:33" ht="39.950000000000003" hidden="1" customHeight="1" x14ac:dyDescent="0.25">
      <c r="AE197" s="39">
        <v>195</v>
      </c>
      <c r="AF197" s="44">
        <v>97.5</v>
      </c>
      <c r="AG197" s="63" t="s">
        <v>0</v>
      </c>
    </row>
    <row r="198" spans="31:33" ht="39.950000000000003" hidden="1" customHeight="1" x14ac:dyDescent="0.25">
      <c r="AE198" s="39">
        <v>196</v>
      </c>
      <c r="AF198" s="44">
        <v>98</v>
      </c>
      <c r="AG198" s="63" t="s">
        <v>0</v>
      </c>
    </row>
    <row r="199" spans="31:33" ht="39.950000000000003" hidden="1" customHeight="1" x14ac:dyDescent="0.25">
      <c r="AE199" s="39">
        <v>197</v>
      </c>
      <c r="AF199" s="44">
        <v>98.5</v>
      </c>
      <c r="AG199" s="63" t="s">
        <v>0</v>
      </c>
    </row>
    <row r="200" spans="31:33" ht="39.950000000000003" hidden="1" customHeight="1" x14ac:dyDescent="0.25">
      <c r="AE200" s="39">
        <v>198</v>
      </c>
      <c r="AF200" s="44">
        <v>99</v>
      </c>
      <c r="AG200" s="63" t="s">
        <v>0</v>
      </c>
    </row>
    <row r="201" spans="31:33" ht="39.950000000000003" hidden="1" customHeight="1" x14ac:dyDescent="0.25">
      <c r="AE201" s="39">
        <v>199</v>
      </c>
      <c r="AF201" s="44">
        <v>99.5</v>
      </c>
      <c r="AG201" s="63" t="s">
        <v>0</v>
      </c>
    </row>
    <row r="202" spans="31:33" ht="39.950000000000003" hidden="1" customHeight="1" x14ac:dyDescent="0.25">
      <c r="AE202" s="39">
        <v>200</v>
      </c>
      <c r="AF202" s="44">
        <v>100</v>
      </c>
      <c r="AG202" s="63" t="s">
        <v>0</v>
      </c>
    </row>
    <row r="203" spans="31:33" ht="39.950000000000003" hidden="1" customHeight="1" x14ac:dyDescent="0.25">
      <c r="AE203" s="39">
        <v>201</v>
      </c>
      <c r="AF203" s="44">
        <v>100.5</v>
      </c>
      <c r="AG203" s="63" t="s">
        <v>0</v>
      </c>
    </row>
    <row r="204" spans="31:33" ht="39.950000000000003" hidden="1" customHeight="1" x14ac:dyDescent="0.25">
      <c r="AE204" s="39">
        <v>202</v>
      </c>
      <c r="AF204" s="44">
        <v>101</v>
      </c>
      <c r="AG204" s="63" t="s">
        <v>0</v>
      </c>
    </row>
    <row r="205" spans="31:33" ht="39.950000000000003" hidden="1" customHeight="1" x14ac:dyDescent="0.25">
      <c r="AE205" s="39">
        <v>203</v>
      </c>
      <c r="AF205" s="44">
        <v>101.5</v>
      </c>
      <c r="AG205" s="63" t="s">
        <v>0</v>
      </c>
    </row>
    <row r="206" spans="31:33" ht="39.950000000000003" hidden="1" customHeight="1" x14ac:dyDescent="0.25">
      <c r="AE206" s="39">
        <v>204</v>
      </c>
      <c r="AF206" s="44">
        <v>102</v>
      </c>
      <c r="AG206" s="63" t="s">
        <v>0</v>
      </c>
    </row>
    <row r="207" spans="31:33" ht="39.950000000000003" hidden="1" customHeight="1" x14ac:dyDescent="0.25">
      <c r="AE207" s="39">
        <v>205</v>
      </c>
      <c r="AF207" s="44">
        <v>102.5</v>
      </c>
      <c r="AG207" s="63" t="s">
        <v>0</v>
      </c>
    </row>
    <row r="208" spans="31:33" ht="39.950000000000003" hidden="1" customHeight="1" x14ac:dyDescent="0.25">
      <c r="AE208" s="39">
        <v>206</v>
      </c>
      <c r="AF208" s="44">
        <v>103</v>
      </c>
      <c r="AG208" s="63" t="s">
        <v>0</v>
      </c>
    </row>
    <row r="209" spans="31:33" ht="39.950000000000003" hidden="1" customHeight="1" x14ac:dyDescent="0.25">
      <c r="AE209" s="39">
        <v>207</v>
      </c>
      <c r="AF209" s="44">
        <v>103.5</v>
      </c>
      <c r="AG209" s="63" t="s">
        <v>0</v>
      </c>
    </row>
    <row r="210" spans="31:33" ht="39.950000000000003" hidden="1" customHeight="1" x14ac:dyDescent="0.25">
      <c r="AE210" s="39">
        <v>208</v>
      </c>
      <c r="AF210" s="44">
        <v>104</v>
      </c>
      <c r="AG210" s="63" t="s">
        <v>0</v>
      </c>
    </row>
    <row r="211" spans="31:33" ht="39.950000000000003" hidden="1" customHeight="1" x14ac:dyDescent="0.25">
      <c r="AE211" s="39">
        <v>209</v>
      </c>
      <c r="AF211" s="44">
        <v>104.5</v>
      </c>
      <c r="AG211" s="63" t="s">
        <v>0</v>
      </c>
    </row>
    <row r="212" spans="31:33" ht="39.950000000000003" hidden="1" customHeight="1" x14ac:dyDescent="0.25">
      <c r="AE212" s="39">
        <v>210</v>
      </c>
      <c r="AF212" s="44">
        <v>105</v>
      </c>
      <c r="AG212" s="63" t="s">
        <v>0</v>
      </c>
    </row>
    <row r="213" spans="31:33" ht="39.950000000000003" hidden="1" customHeight="1" x14ac:dyDescent="0.25">
      <c r="AE213" s="39">
        <v>211</v>
      </c>
      <c r="AF213" s="44">
        <v>105.5</v>
      </c>
      <c r="AG213" s="63" t="s">
        <v>0</v>
      </c>
    </row>
    <row r="214" spans="31:33" ht="39.950000000000003" hidden="1" customHeight="1" x14ac:dyDescent="0.25">
      <c r="AE214" s="39">
        <v>212</v>
      </c>
      <c r="AF214" s="44">
        <v>106</v>
      </c>
      <c r="AG214" s="63" t="s">
        <v>0</v>
      </c>
    </row>
    <row r="215" spans="31:33" ht="39.950000000000003" hidden="1" customHeight="1" x14ac:dyDescent="0.25">
      <c r="AE215" s="39">
        <v>213</v>
      </c>
      <c r="AF215" s="44">
        <v>106.5</v>
      </c>
      <c r="AG215" s="63" t="s">
        <v>0</v>
      </c>
    </row>
    <row r="216" spans="31:33" ht="39.950000000000003" hidden="1" customHeight="1" x14ac:dyDescent="0.25">
      <c r="AE216" s="39">
        <v>214</v>
      </c>
      <c r="AF216" s="44">
        <v>107</v>
      </c>
      <c r="AG216" s="63" t="s">
        <v>0</v>
      </c>
    </row>
    <row r="217" spans="31:33" ht="39.950000000000003" hidden="1" customHeight="1" x14ac:dyDescent="0.25">
      <c r="AE217" s="39">
        <v>215</v>
      </c>
      <c r="AF217" s="44">
        <v>107.5</v>
      </c>
      <c r="AG217" s="63" t="s">
        <v>0</v>
      </c>
    </row>
    <row r="218" spans="31:33" ht="39.950000000000003" hidden="1" customHeight="1" x14ac:dyDescent="0.25">
      <c r="AE218" s="39">
        <v>216</v>
      </c>
      <c r="AF218" s="44">
        <v>108</v>
      </c>
      <c r="AG218" s="63" t="s">
        <v>0</v>
      </c>
    </row>
    <row r="219" spans="31:33" ht="39.950000000000003" hidden="1" customHeight="1" x14ac:dyDescent="0.25">
      <c r="AE219" s="39">
        <v>217</v>
      </c>
      <c r="AF219" s="44">
        <v>108.5</v>
      </c>
      <c r="AG219" s="63" t="s">
        <v>0</v>
      </c>
    </row>
    <row r="220" spans="31:33" ht="39.950000000000003" hidden="1" customHeight="1" x14ac:dyDescent="0.25">
      <c r="AE220" s="39">
        <v>218</v>
      </c>
      <c r="AF220" s="44">
        <v>109</v>
      </c>
      <c r="AG220" s="63" t="s">
        <v>0</v>
      </c>
    </row>
    <row r="221" spans="31:33" ht="39.950000000000003" hidden="1" customHeight="1" x14ac:dyDescent="0.25">
      <c r="AE221" s="39">
        <v>219</v>
      </c>
      <c r="AF221" s="44">
        <v>109.5</v>
      </c>
      <c r="AG221" s="63" t="s">
        <v>0</v>
      </c>
    </row>
    <row r="222" spans="31:33" ht="39.950000000000003" hidden="1" customHeight="1" x14ac:dyDescent="0.25">
      <c r="AE222" s="39">
        <v>220</v>
      </c>
      <c r="AF222" s="44">
        <v>110</v>
      </c>
      <c r="AG222" s="63" t="s">
        <v>0</v>
      </c>
    </row>
    <row r="223" spans="31:33" ht="39.950000000000003" hidden="1" customHeight="1" x14ac:dyDescent="0.25">
      <c r="AE223" s="39">
        <v>221</v>
      </c>
      <c r="AF223" s="44">
        <v>110.5</v>
      </c>
      <c r="AG223" s="63" t="s">
        <v>0</v>
      </c>
    </row>
    <row r="224" spans="31:33" ht="39.950000000000003" hidden="1" customHeight="1" x14ac:dyDescent="0.25">
      <c r="AE224" s="39">
        <v>222</v>
      </c>
      <c r="AF224" s="44">
        <v>111</v>
      </c>
      <c r="AG224" s="63" t="s">
        <v>0</v>
      </c>
    </row>
    <row r="225" spans="31:33" ht="39.950000000000003" hidden="1" customHeight="1" x14ac:dyDescent="0.25">
      <c r="AE225" s="39">
        <v>223</v>
      </c>
      <c r="AF225" s="44">
        <v>111.5</v>
      </c>
      <c r="AG225" s="63" t="s">
        <v>0</v>
      </c>
    </row>
    <row r="226" spans="31:33" ht="39.950000000000003" hidden="1" customHeight="1" x14ac:dyDescent="0.25">
      <c r="AE226" s="39">
        <v>224</v>
      </c>
      <c r="AF226" s="44">
        <v>112</v>
      </c>
      <c r="AG226" s="63" t="s">
        <v>0</v>
      </c>
    </row>
    <row r="227" spans="31:33" ht="39.950000000000003" hidden="1" customHeight="1" x14ac:dyDescent="0.25">
      <c r="AE227" s="39">
        <v>225</v>
      </c>
      <c r="AF227" s="44">
        <v>112.5</v>
      </c>
      <c r="AG227" s="63" t="s">
        <v>0</v>
      </c>
    </row>
    <row r="228" spans="31:33" ht="39.950000000000003" hidden="1" customHeight="1" x14ac:dyDescent="0.25">
      <c r="AE228" s="39">
        <v>226</v>
      </c>
      <c r="AF228" s="44">
        <v>113</v>
      </c>
      <c r="AG228" s="63" t="s">
        <v>0</v>
      </c>
    </row>
    <row r="229" spans="31:33" ht="39.950000000000003" hidden="1" customHeight="1" x14ac:dyDescent="0.25">
      <c r="AE229" s="39">
        <v>227</v>
      </c>
      <c r="AF229" s="44">
        <v>113.5</v>
      </c>
      <c r="AG229" s="63" t="s">
        <v>0</v>
      </c>
    </row>
    <row r="230" spans="31:33" ht="39.950000000000003" hidden="1" customHeight="1" x14ac:dyDescent="0.25">
      <c r="AE230" s="39">
        <v>228</v>
      </c>
      <c r="AF230" s="44">
        <v>114</v>
      </c>
      <c r="AG230" s="63" t="s">
        <v>0</v>
      </c>
    </row>
    <row r="231" spans="31:33" ht="39.950000000000003" hidden="1" customHeight="1" x14ac:dyDescent="0.25">
      <c r="AE231" s="39">
        <v>229</v>
      </c>
      <c r="AF231" s="44">
        <v>114.5</v>
      </c>
      <c r="AG231" s="63" t="s">
        <v>0</v>
      </c>
    </row>
    <row r="232" spans="31:33" ht="39.950000000000003" hidden="1" customHeight="1" x14ac:dyDescent="0.25">
      <c r="AE232" s="39">
        <v>230</v>
      </c>
      <c r="AF232" s="44">
        <v>115</v>
      </c>
      <c r="AG232" s="63" t="s">
        <v>0</v>
      </c>
    </row>
    <row r="233" spans="31:33" ht="39.950000000000003" hidden="1" customHeight="1" x14ac:dyDescent="0.25">
      <c r="AE233" s="39">
        <v>231</v>
      </c>
      <c r="AF233" s="44">
        <v>115.5</v>
      </c>
      <c r="AG233" s="63" t="s">
        <v>0</v>
      </c>
    </row>
    <row r="234" spans="31:33" ht="39.950000000000003" hidden="1" customHeight="1" x14ac:dyDescent="0.25">
      <c r="AE234" s="39">
        <v>232</v>
      </c>
      <c r="AF234" s="44">
        <v>116</v>
      </c>
      <c r="AG234" s="63" t="s">
        <v>0</v>
      </c>
    </row>
    <row r="235" spans="31:33" ht="39.950000000000003" hidden="1" customHeight="1" x14ac:dyDescent="0.25">
      <c r="AE235" s="39">
        <v>233</v>
      </c>
      <c r="AF235" s="44">
        <v>116.5</v>
      </c>
      <c r="AG235" s="63" t="s">
        <v>0</v>
      </c>
    </row>
    <row r="236" spans="31:33" ht="39.950000000000003" hidden="1" customHeight="1" x14ac:dyDescent="0.25">
      <c r="AE236" s="39">
        <v>234</v>
      </c>
      <c r="AF236" s="44">
        <v>117</v>
      </c>
      <c r="AG236" s="63" t="s">
        <v>0</v>
      </c>
    </row>
    <row r="237" spans="31:33" ht="39.950000000000003" hidden="1" customHeight="1" x14ac:dyDescent="0.25">
      <c r="AE237" s="39">
        <v>235</v>
      </c>
      <c r="AF237" s="44">
        <v>117.5</v>
      </c>
      <c r="AG237" s="63" t="s">
        <v>0</v>
      </c>
    </row>
    <row r="238" spans="31:33" ht="39.950000000000003" hidden="1" customHeight="1" x14ac:dyDescent="0.25">
      <c r="AE238" s="39">
        <v>236</v>
      </c>
      <c r="AF238" s="44">
        <v>118</v>
      </c>
      <c r="AG238" s="63" t="s">
        <v>0</v>
      </c>
    </row>
    <row r="239" spans="31:33" ht="39.950000000000003" hidden="1" customHeight="1" x14ac:dyDescent="0.25">
      <c r="AE239" s="39">
        <v>237</v>
      </c>
      <c r="AF239" s="44">
        <v>118.5</v>
      </c>
      <c r="AG239" s="63" t="s">
        <v>0</v>
      </c>
    </row>
    <row r="240" spans="31:33" ht="39.950000000000003" hidden="1" customHeight="1" x14ac:dyDescent="0.25">
      <c r="AE240" s="39">
        <v>238</v>
      </c>
      <c r="AF240" s="44">
        <v>119</v>
      </c>
      <c r="AG240" s="63" t="s">
        <v>0</v>
      </c>
    </row>
    <row r="241" spans="1:207" ht="39.950000000000003" hidden="1" customHeight="1" x14ac:dyDescent="0.25">
      <c r="AE241" s="39">
        <v>239</v>
      </c>
      <c r="AF241" s="44">
        <v>119.5</v>
      </c>
      <c r="AG241" s="63" t="s">
        <v>0</v>
      </c>
    </row>
    <row r="242" spans="1:207" ht="39.950000000000003" hidden="1" customHeight="1" x14ac:dyDescent="0.25">
      <c r="AE242" s="39">
        <v>240</v>
      </c>
      <c r="AF242" s="44">
        <v>120</v>
      </c>
      <c r="AG242" s="63" t="s">
        <v>0</v>
      </c>
    </row>
    <row r="243" spans="1:207" ht="39.950000000000003" hidden="1" customHeight="1" x14ac:dyDescent="0.25">
      <c r="AE243" s="39">
        <v>241</v>
      </c>
      <c r="AF243" s="44">
        <v>120.5</v>
      </c>
      <c r="AG243" s="63" t="s">
        <v>0</v>
      </c>
    </row>
    <row r="244" spans="1:207" ht="39.950000000000003" hidden="1" customHeight="1" x14ac:dyDescent="0.25">
      <c r="AE244" s="39">
        <v>242</v>
      </c>
      <c r="AF244" s="44">
        <v>121</v>
      </c>
      <c r="AG244" s="63" t="s">
        <v>0</v>
      </c>
    </row>
    <row r="245" spans="1:207" ht="39.950000000000003" hidden="1" customHeight="1" x14ac:dyDescent="0.25">
      <c r="AE245" s="39">
        <v>243</v>
      </c>
      <c r="AF245" s="44">
        <v>121.5</v>
      </c>
      <c r="AG245" s="63" t="s">
        <v>0</v>
      </c>
    </row>
    <row r="246" spans="1:207" ht="39.950000000000003" hidden="1" customHeight="1" x14ac:dyDescent="0.25">
      <c r="AE246" s="39">
        <v>244</v>
      </c>
      <c r="AF246" s="44">
        <v>122</v>
      </c>
      <c r="AG246" s="63" t="s">
        <v>0</v>
      </c>
    </row>
    <row r="247" spans="1:207" ht="39.950000000000003" hidden="1" customHeight="1" x14ac:dyDescent="0.25">
      <c r="AE247" s="39">
        <v>245</v>
      </c>
      <c r="AF247" s="44">
        <v>122.5</v>
      </c>
      <c r="AG247" s="63" t="s">
        <v>0</v>
      </c>
    </row>
    <row r="248" spans="1:207" ht="39.950000000000003" hidden="1" customHeight="1" x14ac:dyDescent="0.25">
      <c r="AE248" s="39">
        <v>246</v>
      </c>
      <c r="AF248" s="44">
        <v>123</v>
      </c>
      <c r="AG248" s="63" t="s">
        <v>0</v>
      </c>
    </row>
    <row r="249" spans="1:207" ht="39.950000000000003" hidden="1" customHeight="1" x14ac:dyDescent="0.25">
      <c r="AE249" s="39">
        <v>247</v>
      </c>
      <c r="AF249" s="44">
        <v>123.5</v>
      </c>
      <c r="AG249" s="63" t="s">
        <v>0</v>
      </c>
    </row>
    <row r="250" spans="1:207" ht="39.950000000000003" hidden="1" customHeight="1" x14ac:dyDescent="0.25">
      <c r="AE250" s="39">
        <v>248</v>
      </c>
      <c r="AF250" s="44">
        <v>124</v>
      </c>
      <c r="AG250" s="63" t="s">
        <v>0</v>
      </c>
    </row>
    <row r="251" spans="1:207" ht="39.950000000000003" hidden="1" customHeight="1" x14ac:dyDescent="0.25">
      <c r="AE251" s="39">
        <v>249</v>
      </c>
      <c r="AF251" s="44">
        <v>124.5</v>
      </c>
      <c r="AG251" s="63" t="s">
        <v>0</v>
      </c>
    </row>
    <row r="252" spans="1:207" ht="39.950000000000003" hidden="1" customHeight="1" x14ac:dyDescent="0.25">
      <c r="AE252" s="39">
        <v>250</v>
      </c>
      <c r="AF252" s="44">
        <v>125</v>
      </c>
      <c r="AG252" s="63" t="s">
        <v>0</v>
      </c>
    </row>
    <row r="253" spans="1:207" ht="39.950000000000003" hidden="1" customHeight="1" x14ac:dyDescent="0.25">
      <c r="AE253" s="39">
        <v>251</v>
      </c>
      <c r="AF253" s="44">
        <v>125.5</v>
      </c>
      <c r="AG253" s="63" t="s">
        <v>0</v>
      </c>
    </row>
    <row r="254" spans="1:207" s="33" customFormat="1" ht="39.950000000000003" hidden="1"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2"/>
      <c r="V254" s="13"/>
      <c r="W254" s="12"/>
      <c r="X254" s="12"/>
      <c r="Y254" s="12"/>
      <c r="Z254" s="12"/>
      <c r="AA254" s="12"/>
      <c r="AB254" s="39"/>
      <c r="AC254" s="39"/>
      <c r="AD254" s="39"/>
      <c r="AE254" s="39">
        <v>252</v>
      </c>
      <c r="AF254" s="44">
        <v>126</v>
      </c>
      <c r="AG254" s="63" t="s">
        <v>0</v>
      </c>
      <c r="AH254" s="64"/>
      <c r="AI254" s="64"/>
      <c r="AJ254" s="64"/>
      <c r="AK254" s="64"/>
      <c r="AL254" s="64"/>
      <c r="AM254" s="64"/>
      <c r="AN254" s="64"/>
      <c r="AO254" s="64"/>
      <c r="AP254" s="64"/>
      <c r="AQ254" s="64"/>
      <c r="AR254" s="64"/>
      <c r="AS254" s="64"/>
      <c r="AT254" s="64"/>
      <c r="AU254" s="64"/>
      <c r="AV254" s="64"/>
      <c r="AW254" s="64"/>
      <c r="AX254" s="64"/>
      <c r="AY254" s="64"/>
      <c r="AZ254" s="64"/>
      <c r="BA254" s="64"/>
      <c r="BB254" s="64"/>
      <c r="BC254" s="64"/>
      <c r="BD254" s="64"/>
      <c r="BE254" s="64"/>
      <c r="BF254" s="64"/>
      <c r="BG254" s="64"/>
      <c r="BH254" s="64"/>
      <c r="BI254" s="64"/>
      <c r="BJ254" s="64"/>
      <c r="BK254" s="64"/>
      <c r="BL254" s="64"/>
      <c r="BM254" s="64"/>
      <c r="BN254" s="64"/>
      <c r="BO254" s="64"/>
      <c r="BP254" s="64"/>
      <c r="BQ254" s="64"/>
      <c r="BR254" s="64"/>
      <c r="BS254" s="64"/>
      <c r="BT254" s="64"/>
      <c r="BU254" s="64"/>
      <c r="BV254" s="64"/>
      <c r="BW254" s="64"/>
      <c r="BX254" s="64"/>
      <c r="BY254" s="64"/>
      <c r="BZ254" s="64"/>
      <c r="CA254" s="64"/>
      <c r="CB254" s="64"/>
      <c r="CC254" s="64"/>
      <c r="CD254" s="64"/>
      <c r="CE254" s="64"/>
      <c r="CF254" s="64"/>
      <c r="CG254" s="64"/>
      <c r="CH254" s="64"/>
      <c r="CI254" s="64"/>
      <c r="CJ254" s="64"/>
      <c r="CK254" s="64"/>
      <c r="CL254" s="64"/>
      <c r="CM254" s="64"/>
      <c r="CN254" s="64"/>
      <c r="CO254" s="64"/>
      <c r="CP254" s="64"/>
      <c r="CQ254" s="64"/>
      <c r="CR254" s="64"/>
      <c r="CS254" s="64"/>
      <c r="CT254" s="64"/>
      <c r="CU254" s="64"/>
      <c r="CV254" s="64"/>
      <c r="CW254" s="64"/>
      <c r="CX254" s="64"/>
      <c r="CY254" s="64"/>
      <c r="CZ254" s="64"/>
      <c r="DA254" s="64"/>
      <c r="DB254" s="64"/>
      <c r="DC254" s="64"/>
      <c r="DD254" s="64"/>
      <c r="DE254" s="64"/>
      <c r="DF254" s="64"/>
      <c r="DG254" s="64"/>
      <c r="DH254" s="64"/>
      <c r="DI254" s="64"/>
      <c r="DJ254" s="64"/>
      <c r="DK254" s="64"/>
      <c r="DL254" s="64"/>
      <c r="DM254" s="64"/>
      <c r="DN254" s="64"/>
      <c r="DO254" s="64"/>
      <c r="DP254" s="64"/>
      <c r="DQ254" s="64"/>
      <c r="DR254" s="64"/>
      <c r="DS254" s="64"/>
      <c r="DT254" s="64"/>
      <c r="DU254" s="64"/>
      <c r="DV254" s="64"/>
      <c r="DW254" s="64"/>
      <c r="DX254" s="64"/>
      <c r="DY254" s="64"/>
      <c r="DZ254" s="64"/>
      <c r="EA254" s="64"/>
      <c r="EB254" s="64"/>
      <c r="EC254" s="64"/>
      <c r="ED254" s="64"/>
      <c r="EE254" s="64"/>
      <c r="EF254" s="64"/>
      <c r="EG254" s="64"/>
      <c r="EH254" s="64"/>
      <c r="EI254" s="64"/>
      <c r="EJ254" s="64"/>
      <c r="EK254" s="64"/>
      <c r="EL254" s="64"/>
      <c r="EM254" s="64"/>
      <c r="EN254" s="64"/>
      <c r="EO254" s="64"/>
      <c r="EP254" s="64"/>
      <c r="EQ254" s="64"/>
      <c r="ER254" s="64"/>
      <c r="ES254" s="64"/>
      <c r="ET254" s="64"/>
      <c r="EU254" s="64"/>
      <c r="EV254" s="64"/>
      <c r="EW254" s="64"/>
      <c r="EX254" s="64"/>
      <c r="EY254" s="64"/>
      <c r="EZ254" s="64"/>
      <c r="FA254" s="64"/>
      <c r="FB254" s="64"/>
      <c r="FC254" s="64"/>
      <c r="FD254" s="64"/>
      <c r="FE254" s="64"/>
      <c r="FF254" s="64"/>
      <c r="FG254" s="64"/>
      <c r="FH254" s="64"/>
      <c r="FI254" s="64"/>
      <c r="FJ254" s="64"/>
      <c r="FK254" s="64"/>
      <c r="FL254" s="64"/>
      <c r="FM254" s="64"/>
      <c r="FN254" s="64"/>
      <c r="FO254" s="64"/>
      <c r="FP254" s="64"/>
      <c r="FQ254" s="64"/>
      <c r="FR254" s="64"/>
      <c r="FS254" s="64"/>
      <c r="FT254" s="64"/>
      <c r="FU254" s="64"/>
      <c r="FV254" s="64"/>
      <c r="FW254" s="64"/>
      <c r="FX254" s="64"/>
      <c r="FY254" s="64"/>
      <c r="FZ254" s="64"/>
      <c r="GA254" s="64"/>
      <c r="GB254" s="64"/>
      <c r="GC254" s="64"/>
      <c r="GD254" s="64"/>
      <c r="GE254" s="64"/>
      <c r="GF254" s="64"/>
      <c r="GG254" s="64"/>
      <c r="GH254" s="64"/>
      <c r="GI254" s="64"/>
      <c r="GJ254" s="64"/>
      <c r="GK254" s="64"/>
      <c r="GL254" s="64"/>
      <c r="GM254" s="64"/>
      <c r="GN254" s="64"/>
      <c r="GO254" s="64"/>
      <c r="GP254" s="64"/>
      <c r="GQ254" s="64"/>
      <c r="GR254" s="64"/>
      <c r="GS254" s="64"/>
      <c r="GT254" s="64"/>
      <c r="GU254" s="64"/>
      <c r="GV254" s="64"/>
      <c r="GW254" s="64"/>
      <c r="GX254" s="64"/>
      <c r="GY254" s="64"/>
    </row>
    <row r="255" spans="1:207" s="33" customFormat="1" ht="39.950000000000003" hidden="1"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2"/>
      <c r="V255" s="13"/>
      <c r="W255" s="12"/>
      <c r="X255" s="12"/>
      <c r="Y255" s="12"/>
      <c r="Z255" s="12"/>
      <c r="AA255" s="12"/>
      <c r="AB255" s="39"/>
      <c r="AC255" s="39"/>
      <c r="AD255" s="39"/>
      <c r="AE255" s="39">
        <v>253</v>
      </c>
      <c r="AF255" s="44">
        <v>126.5</v>
      </c>
      <c r="AG255" s="63" t="s">
        <v>0</v>
      </c>
      <c r="AH255" s="64"/>
      <c r="AI255" s="64"/>
      <c r="AJ255" s="64"/>
      <c r="AK255" s="64"/>
      <c r="AL255" s="64"/>
      <c r="AM255" s="64"/>
      <c r="AN255" s="64"/>
      <c r="AO255" s="64"/>
      <c r="AP255" s="64"/>
      <c r="AQ255" s="64"/>
      <c r="AR255" s="64"/>
      <c r="AS255" s="64"/>
      <c r="AT255" s="64"/>
      <c r="AU255" s="64"/>
      <c r="AV255" s="64"/>
      <c r="AW255" s="64"/>
      <c r="AX255" s="64"/>
      <c r="AY255" s="64"/>
      <c r="AZ255" s="64"/>
      <c r="BA255" s="64"/>
      <c r="BB255" s="64"/>
      <c r="BC255" s="64"/>
      <c r="BD255" s="64"/>
      <c r="BE255" s="64"/>
      <c r="BF255" s="64"/>
      <c r="BG255" s="64"/>
      <c r="BH255" s="64"/>
      <c r="BI255" s="64"/>
      <c r="BJ255" s="64"/>
      <c r="BK255" s="64"/>
      <c r="BL255" s="64"/>
      <c r="BM255" s="64"/>
      <c r="BN255" s="64"/>
      <c r="BO255" s="64"/>
      <c r="BP255" s="64"/>
      <c r="BQ255" s="64"/>
      <c r="BR255" s="64"/>
      <c r="BS255" s="64"/>
      <c r="BT255" s="64"/>
      <c r="BU255" s="64"/>
      <c r="BV255" s="64"/>
      <c r="BW255" s="64"/>
      <c r="BX255" s="64"/>
      <c r="BY255" s="64"/>
      <c r="BZ255" s="64"/>
      <c r="CA255" s="64"/>
      <c r="CB255" s="64"/>
      <c r="CC255" s="64"/>
      <c r="CD255" s="64"/>
      <c r="CE255" s="64"/>
      <c r="CF255" s="64"/>
      <c r="CG255" s="64"/>
      <c r="CH255" s="64"/>
      <c r="CI255" s="64"/>
      <c r="CJ255" s="64"/>
      <c r="CK255" s="64"/>
      <c r="CL255" s="64"/>
      <c r="CM255" s="64"/>
      <c r="CN255" s="64"/>
      <c r="CO255" s="64"/>
      <c r="CP255" s="64"/>
      <c r="CQ255" s="64"/>
      <c r="CR255" s="64"/>
      <c r="CS255" s="64"/>
      <c r="CT255" s="64"/>
      <c r="CU255" s="64"/>
      <c r="CV255" s="64"/>
      <c r="CW255" s="64"/>
      <c r="CX255" s="64"/>
      <c r="CY255" s="64"/>
      <c r="CZ255" s="64"/>
      <c r="DA255" s="64"/>
      <c r="DB255" s="64"/>
      <c r="DC255" s="64"/>
      <c r="DD255" s="64"/>
      <c r="DE255" s="64"/>
      <c r="DF255" s="64"/>
      <c r="DG255" s="64"/>
      <c r="DH255" s="64"/>
      <c r="DI255" s="64"/>
      <c r="DJ255" s="64"/>
      <c r="DK255" s="64"/>
      <c r="DL255" s="64"/>
      <c r="DM255" s="64"/>
      <c r="DN255" s="64"/>
      <c r="DO255" s="64"/>
      <c r="DP255" s="64"/>
      <c r="DQ255" s="64"/>
      <c r="DR255" s="64"/>
      <c r="DS255" s="64"/>
      <c r="DT255" s="64"/>
      <c r="DU255" s="64"/>
      <c r="DV255" s="64"/>
      <c r="DW255" s="64"/>
      <c r="DX255" s="64"/>
      <c r="DY255" s="64"/>
      <c r="DZ255" s="64"/>
      <c r="EA255" s="64"/>
      <c r="EB255" s="64"/>
      <c r="EC255" s="64"/>
      <c r="ED255" s="64"/>
      <c r="EE255" s="64"/>
      <c r="EF255" s="64"/>
      <c r="EG255" s="64"/>
      <c r="EH255" s="64"/>
      <c r="EI255" s="64"/>
      <c r="EJ255" s="64"/>
      <c r="EK255" s="64"/>
      <c r="EL255" s="64"/>
      <c r="EM255" s="64"/>
      <c r="EN255" s="64"/>
      <c r="EO255" s="64"/>
      <c r="EP255" s="64"/>
      <c r="EQ255" s="64"/>
      <c r="ER255" s="64"/>
      <c r="ES255" s="64"/>
      <c r="ET255" s="64"/>
      <c r="EU255" s="64"/>
      <c r="EV255" s="64"/>
      <c r="EW255" s="64"/>
      <c r="EX255" s="64"/>
      <c r="EY255" s="64"/>
      <c r="EZ255" s="64"/>
      <c r="FA255" s="64"/>
      <c r="FB255" s="64"/>
      <c r="FC255" s="64"/>
      <c r="FD255" s="64"/>
      <c r="FE255" s="64"/>
      <c r="FF255" s="64"/>
      <c r="FG255" s="64"/>
      <c r="FH255" s="64"/>
      <c r="FI255" s="64"/>
      <c r="FJ255" s="64"/>
      <c r="FK255" s="64"/>
      <c r="FL255" s="64"/>
      <c r="FM255" s="64"/>
      <c r="FN255" s="64"/>
      <c r="FO255" s="64"/>
      <c r="FP255" s="64"/>
      <c r="FQ255" s="64"/>
      <c r="FR255" s="64"/>
      <c r="FS255" s="64"/>
      <c r="FT255" s="64"/>
      <c r="FU255" s="64"/>
      <c r="FV255" s="64"/>
      <c r="FW255" s="64"/>
      <c r="FX255" s="64"/>
      <c r="FY255" s="64"/>
      <c r="FZ255" s="64"/>
      <c r="GA255" s="64"/>
      <c r="GB255" s="64"/>
      <c r="GC255" s="64"/>
      <c r="GD255" s="64"/>
      <c r="GE255" s="64"/>
      <c r="GF255" s="64"/>
      <c r="GG255" s="64"/>
      <c r="GH255" s="64"/>
      <c r="GI255" s="64"/>
      <c r="GJ255" s="64"/>
      <c r="GK255" s="64"/>
      <c r="GL255" s="64"/>
      <c r="GM255" s="64"/>
      <c r="GN255" s="64"/>
      <c r="GO255" s="64"/>
      <c r="GP255" s="64"/>
      <c r="GQ255" s="64"/>
      <c r="GR255" s="64"/>
      <c r="GS255" s="64"/>
      <c r="GT255" s="64"/>
      <c r="GU255" s="64"/>
      <c r="GV255" s="64"/>
      <c r="GW255" s="64"/>
      <c r="GX255" s="64"/>
      <c r="GY255" s="64"/>
    </row>
    <row r="256" spans="1:207" s="33" customFormat="1" ht="39.950000000000003" hidden="1"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2"/>
      <c r="V256" s="13"/>
      <c r="W256" s="12"/>
      <c r="X256" s="12"/>
      <c r="Y256" s="12"/>
      <c r="Z256" s="12"/>
      <c r="AA256" s="12"/>
      <c r="AB256" s="39"/>
      <c r="AC256" s="39"/>
      <c r="AD256" s="39"/>
      <c r="AE256" s="39">
        <v>254</v>
      </c>
      <c r="AF256" s="44">
        <v>127</v>
      </c>
      <c r="AG256" s="63" t="s">
        <v>0</v>
      </c>
      <c r="AH256" s="64"/>
      <c r="AI256" s="64"/>
      <c r="AJ256" s="64"/>
      <c r="AK256" s="64"/>
      <c r="AL256" s="64"/>
      <c r="AM256" s="64"/>
      <c r="AN256" s="64"/>
      <c r="AO256" s="64"/>
      <c r="AP256" s="64"/>
      <c r="AQ256" s="64"/>
      <c r="AR256" s="64"/>
      <c r="AS256" s="64"/>
      <c r="AT256" s="64"/>
      <c r="AU256" s="64"/>
      <c r="AV256" s="64"/>
      <c r="AW256" s="64"/>
      <c r="AX256" s="64"/>
      <c r="AY256" s="64"/>
      <c r="AZ256" s="64"/>
      <c r="BA256" s="64"/>
      <c r="BB256" s="64"/>
      <c r="BC256" s="64"/>
      <c r="BD256" s="64"/>
      <c r="BE256" s="64"/>
      <c r="BF256" s="64"/>
      <c r="BG256" s="64"/>
      <c r="BH256" s="64"/>
      <c r="BI256" s="64"/>
      <c r="BJ256" s="64"/>
      <c r="BK256" s="64"/>
      <c r="BL256" s="64"/>
      <c r="BM256" s="64"/>
      <c r="BN256" s="64"/>
      <c r="BO256" s="64"/>
      <c r="BP256" s="64"/>
      <c r="BQ256" s="64"/>
      <c r="BR256" s="64"/>
      <c r="BS256" s="64"/>
      <c r="BT256" s="64"/>
      <c r="BU256" s="64"/>
      <c r="BV256" s="64"/>
      <c r="BW256" s="64"/>
      <c r="BX256" s="64"/>
      <c r="BY256" s="64"/>
      <c r="BZ256" s="64"/>
      <c r="CA256" s="64"/>
      <c r="CB256" s="64"/>
      <c r="CC256" s="64"/>
      <c r="CD256" s="64"/>
      <c r="CE256" s="64"/>
      <c r="CF256" s="64"/>
      <c r="CG256" s="64"/>
      <c r="CH256" s="64"/>
      <c r="CI256" s="64"/>
      <c r="CJ256" s="64"/>
      <c r="CK256" s="64"/>
      <c r="CL256" s="64"/>
      <c r="CM256" s="64"/>
      <c r="CN256" s="64"/>
      <c r="CO256" s="64"/>
      <c r="CP256" s="64"/>
      <c r="CQ256" s="64"/>
      <c r="CR256" s="64"/>
      <c r="CS256" s="64"/>
      <c r="CT256" s="64"/>
      <c r="CU256" s="64"/>
      <c r="CV256" s="64"/>
      <c r="CW256" s="64"/>
      <c r="CX256" s="64"/>
      <c r="CY256" s="64"/>
      <c r="CZ256" s="64"/>
      <c r="DA256" s="64"/>
      <c r="DB256" s="64"/>
      <c r="DC256" s="64"/>
      <c r="DD256" s="64"/>
      <c r="DE256" s="64"/>
      <c r="DF256" s="64"/>
      <c r="DG256" s="64"/>
      <c r="DH256" s="64"/>
      <c r="DI256" s="64"/>
      <c r="DJ256" s="64"/>
      <c r="DK256" s="64"/>
      <c r="DL256" s="64"/>
      <c r="DM256" s="64"/>
      <c r="DN256" s="64"/>
      <c r="DO256" s="64"/>
      <c r="DP256" s="64"/>
      <c r="DQ256" s="64"/>
      <c r="DR256" s="64"/>
      <c r="DS256" s="64"/>
      <c r="DT256" s="64"/>
      <c r="DU256" s="64"/>
      <c r="DV256" s="64"/>
      <c r="DW256" s="64"/>
      <c r="DX256" s="64"/>
      <c r="DY256" s="64"/>
      <c r="DZ256" s="64"/>
      <c r="EA256" s="64"/>
      <c r="EB256" s="64"/>
      <c r="EC256" s="64"/>
      <c r="ED256" s="64"/>
      <c r="EE256" s="64"/>
      <c r="EF256" s="64"/>
      <c r="EG256" s="64"/>
      <c r="EH256" s="64"/>
      <c r="EI256" s="64"/>
      <c r="EJ256" s="64"/>
      <c r="EK256" s="64"/>
      <c r="EL256" s="64"/>
      <c r="EM256" s="64"/>
      <c r="EN256" s="64"/>
      <c r="EO256" s="64"/>
      <c r="EP256" s="64"/>
      <c r="EQ256" s="64"/>
      <c r="ER256" s="64"/>
      <c r="ES256" s="64"/>
      <c r="ET256" s="64"/>
      <c r="EU256" s="64"/>
      <c r="EV256" s="64"/>
      <c r="EW256" s="64"/>
      <c r="EX256" s="64"/>
      <c r="EY256" s="64"/>
      <c r="EZ256" s="64"/>
      <c r="FA256" s="64"/>
      <c r="FB256" s="64"/>
      <c r="FC256" s="64"/>
      <c r="FD256" s="64"/>
      <c r="FE256" s="64"/>
      <c r="FF256" s="64"/>
      <c r="FG256" s="64"/>
      <c r="FH256" s="64"/>
      <c r="FI256" s="64"/>
      <c r="FJ256" s="64"/>
      <c r="FK256" s="64"/>
      <c r="FL256" s="64"/>
      <c r="FM256" s="64"/>
      <c r="FN256" s="64"/>
      <c r="FO256" s="64"/>
      <c r="FP256" s="64"/>
      <c r="FQ256" s="64"/>
      <c r="FR256" s="64"/>
      <c r="FS256" s="64"/>
      <c r="FT256" s="64"/>
      <c r="FU256" s="64"/>
      <c r="FV256" s="64"/>
      <c r="FW256" s="64"/>
      <c r="FX256" s="64"/>
      <c r="FY256" s="64"/>
      <c r="FZ256" s="64"/>
      <c r="GA256" s="64"/>
      <c r="GB256" s="64"/>
      <c r="GC256" s="64"/>
      <c r="GD256" s="64"/>
      <c r="GE256" s="64"/>
      <c r="GF256" s="64"/>
      <c r="GG256" s="64"/>
      <c r="GH256" s="64"/>
      <c r="GI256" s="64"/>
      <c r="GJ256" s="64"/>
      <c r="GK256" s="64"/>
      <c r="GL256" s="64"/>
      <c r="GM256" s="64"/>
      <c r="GN256" s="64"/>
      <c r="GO256" s="64"/>
      <c r="GP256" s="64"/>
      <c r="GQ256" s="64"/>
      <c r="GR256" s="64"/>
      <c r="GS256" s="64"/>
      <c r="GT256" s="64"/>
      <c r="GU256" s="64"/>
      <c r="GV256" s="64"/>
      <c r="GW256" s="64"/>
      <c r="GX256" s="64"/>
      <c r="GY256" s="64"/>
    </row>
    <row r="257" spans="1:207" s="33" customFormat="1" ht="39.950000000000003" hidden="1"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2"/>
      <c r="V257" s="13"/>
      <c r="W257" s="12"/>
      <c r="X257" s="12"/>
      <c r="Y257" s="12"/>
      <c r="Z257" s="12"/>
      <c r="AA257" s="12"/>
      <c r="AB257" s="39"/>
      <c r="AC257" s="39"/>
      <c r="AD257" s="39"/>
      <c r="AE257" s="39">
        <v>255</v>
      </c>
      <c r="AF257" s="44">
        <v>127.5</v>
      </c>
      <c r="AG257" s="63" t="s">
        <v>0</v>
      </c>
      <c r="AH257" s="64"/>
      <c r="AI257" s="64"/>
      <c r="AJ257" s="64"/>
      <c r="AK257" s="64"/>
      <c r="AL257" s="64"/>
      <c r="AM257" s="64"/>
      <c r="AN257" s="64"/>
      <c r="AO257" s="64"/>
      <c r="AP257" s="64"/>
      <c r="AQ257" s="64"/>
      <c r="AR257" s="64"/>
      <c r="AS257" s="64"/>
      <c r="AT257" s="64"/>
      <c r="AU257" s="64"/>
      <c r="AV257" s="64"/>
      <c r="AW257" s="64"/>
      <c r="AX257" s="64"/>
      <c r="AY257" s="64"/>
      <c r="AZ257" s="64"/>
      <c r="BA257" s="64"/>
      <c r="BB257" s="64"/>
      <c r="BC257" s="64"/>
      <c r="BD257" s="64"/>
      <c r="BE257" s="64"/>
      <c r="BF257" s="64"/>
      <c r="BG257" s="64"/>
      <c r="BH257" s="64"/>
      <c r="BI257" s="64"/>
      <c r="BJ257" s="64"/>
      <c r="BK257" s="64"/>
      <c r="BL257" s="64"/>
      <c r="BM257" s="64"/>
      <c r="BN257" s="64"/>
      <c r="BO257" s="64"/>
      <c r="BP257" s="64"/>
      <c r="BQ257" s="64"/>
      <c r="BR257" s="64"/>
      <c r="BS257" s="64"/>
      <c r="BT257" s="64"/>
      <c r="BU257" s="64"/>
      <c r="BV257" s="64"/>
      <c r="BW257" s="64"/>
      <c r="BX257" s="64"/>
      <c r="BY257" s="64"/>
      <c r="BZ257" s="64"/>
      <c r="CA257" s="64"/>
      <c r="CB257" s="64"/>
      <c r="CC257" s="64"/>
      <c r="CD257" s="64"/>
      <c r="CE257" s="64"/>
      <c r="CF257" s="64"/>
      <c r="CG257" s="64"/>
      <c r="CH257" s="64"/>
      <c r="CI257" s="64"/>
      <c r="CJ257" s="64"/>
      <c r="CK257" s="64"/>
      <c r="CL257" s="64"/>
      <c r="CM257" s="64"/>
      <c r="CN257" s="64"/>
      <c r="CO257" s="64"/>
      <c r="CP257" s="64"/>
      <c r="CQ257" s="64"/>
      <c r="CR257" s="64"/>
      <c r="CS257" s="64"/>
      <c r="CT257" s="64"/>
      <c r="CU257" s="64"/>
      <c r="CV257" s="64"/>
      <c r="CW257" s="64"/>
      <c r="CX257" s="64"/>
      <c r="CY257" s="64"/>
      <c r="CZ257" s="64"/>
      <c r="DA257" s="64"/>
      <c r="DB257" s="64"/>
      <c r="DC257" s="64"/>
      <c r="DD257" s="64"/>
      <c r="DE257" s="64"/>
      <c r="DF257" s="64"/>
      <c r="DG257" s="64"/>
      <c r="DH257" s="64"/>
      <c r="DI257" s="64"/>
      <c r="DJ257" s="64"/>
      <c r="DK257" s="64"/>
      <c r="DL257" s="64"/>
      <c r="DM257" s="64"/>
      <c r="DN257" s="64"/>
      <c r="DO257" s="64"/>
      <c r="DP257" s="64"/>
      <c r="DQ257" s="64"/>
      <c r="DR257" s="64"/>
      <c r="DS257" s="64"/>
      <c r="DT257" s="64"/>
      <c r="DU257" s="64"/>
      <c r="DV257" s="64"/>
      <c r="DW257" s="64"/>
      <c r="DX257" s="64"/>
      <c r="DY257" s="64"/>
      <c r="DZ257" s="64"/>
      <c r="EA257" s="64"/>
      <c r="EB257" s="64"/>
      <c r="EC257" s="64"/>
      <c r="ED257" s="64"/>
      <c r="EE257" s="64"/>
      <c r="EF257" s="64"/>
      <c r="EG257" s="64"/>
      <c r="EH257" s="64"/>
      <c r="EI257" s="64"/>
      <c r="EJ257" s="64"/>
      <c r="EK257" s="64"/>
      <c r="EL257" s="64"/>
      <c r="EM257" s="64"/>
      <c r="EN257" s="64"/>
      <c r="EO257" s="64"/>
      <c r="EP257" s="64"/>
      <c r="EQ257" s="64"/>
      <c r="ER257" s="64"/>
      <c r="ES257" s="64"/>
      <c r="ET257" s="64"/>
      <c r="EU257" s="64"/>
      <c r="EV257" s="64"/>
      <c r="EW257" s="64"/>
      <c r="EX257" s="64"/>
      <c r="EY257" s="64"/>
      <c r="EZ257" s="64"/>
      <c r="FA257" s="64"/>
      <c r="FB257" s="64"/>
      <c r="FC257" s="64"/>
      <c r="FD257" s="64"/>
      <c r="FE257" s="64"/>
      <c r="FF257" s="64"/>
      <c r="FG257" s="64"/>
      <c r="FH257" s="64"/>
      <c r="FI257" s="64"/>
      <c r="FJ257" s="64"/>
      <c r="FK257" s="64"/>
      <c r="FL257" s="64"/>
      <c r="FM257" s="64"/>
      <c r="FN257" s="64"/>
      <c r="FO257" s="64"/>
      <c r="FP257" s="64"/>
      <c r="FQ257" s="64"/>
      <c r="FR257" s="64"/>
      <c r="FS257" s="64"/>
      <c r="FT257" s="64"/>
      <c r="FU257" s="64"/>
      <c r="FV257" s="64"/>
      <c r="FW257" s="64"/>
      <c r="FX257" s="64"/>
      <c r="FY257" s="64"/>
      <c r="FZ257" s="64"/>
      <c r="GA257" s="64"/>
      <c r="GB257" s="64"/>
      <c r="GC257" s="64"/>
      <c r="GD257" s="64"/>
      <c r="GE257" s="64"/>
      <c r="GF257" s="64"/>
      <c r="GG257" s="64"/>
      <c r="GH257" s="64"/>
      <c r="GI257" s="64"/>
      <c r="GJ257" s="64"/>
      <c r="GK257" s="64"/>
      <c r="GL257" s="64"/>
      <c r="GM257" s="64"/>
      <c r="GN257" s="64"/>
      <c r="GO257" s="64"/>
      <c r="GP257" s="64"/>
      <c r="GQ257" s="64"/>
      <c r="GR257" s="64"/>
      <c r="GS257" s="64"/>
      <c r="GT257" s="64"/>
      <c r="GU257" s="64"/>
      <c r="GV257" s="64"/>
      <c r="GW257" s="64"/>
      <c r="GX257" s="64"/>
      <c r="GY257" s="64"/>
    </row>
    <row r="258" spans="1:207" s="33" customFormat="1" ht="39.950000000000003" hidden="1"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2"/>
      <c r="V258" s="13"/>
      <c r="W258" s="12"/>
      <c r="X258" s="12"/>
      <c r="Y258" s="12"/>
      <c r="Z258" s="12"/>
      <c r="AA258" s="12"/>
      <c r="AB258" s="39"/>
      <c r="AC258" s="39"/>
      <c r="AD258" s="39"/>
      <c r="AE258" s="39">
        <v>256</v>
      </c>
      <c r="AF258" s="44">
        <v>128</v>
      </c>
      <c r="AG258" s="63" t="s">
        <v>0</v>
      </c>
      <c r="AH258" s="64"/>
      <c r="AI258" s="64"/>
      <c r="AJ258" s="64"/>
      <c r="AK258" s="64"/>
      <c r="AL258" s="64"/>
      <c r="AM258" s="64"/>
      <c r="AN258" s="64"/>
      <c r="AO258" s="64"/>
      <c r="AP258" s="64"/>
      <c r="AQ258" s="64"/>
      <c r="AR258" s="64"/>
      <c r="AS258" s="64"/>
      <c r="AT258" s="64"/>
      <c r="AU258" s="64"/>
      <c r="AV258" s="64"/>
      <c r="AW258" s="64"/>
      <c r="AX258" s="64"/>
      <c r="AY258" s="64"/>
      <c r="AZ258" s="64"/>
      <c r="BA258" s="64"/>
      <c r="BB258" s="64"/>
      <c r="BC258" s="64"/>
      <c r="BD258" s="64"/>
      <c r="BE258" s="64"/>
      <c r="BF258" s="64"/>
      <c r="BG258" s="64"/>
      <c r="BH258" s="64"/>
      <c r="BI258" s="64"/>
      <c r="BJ258" s="64"/>
      <c r="BK258" s="64"/>
      <c r="BL258" s="64"/>
      <c r="BM258" s="64"/>
      <c r="BN258" s="64"/>
      <c r="BO258" s="64"/>
      <c r="BP258" s="64"/>
      <c r="BQ258" s="64"/>
      <c r="BR258" s="64"/>
      <c r="BS258" s="64"/>
      <c r="BT258" s="64"/>
      <c r="BU258" s="64"/>
      <c r="BV258" s="64"/>
      <c r="BW258" s="64"/>
      <c r="BX258" s="64"/>
      <c r="BY258" s="64"/>
      <c r="BZ258" s="64"/>
      <c r="CA258" s="64"/>
      <c r="CB258" s="64"/>
      <c r="CC258" s="64"/>
      <c r="CD258" s="64"/>
      <c r="CE258" s="64"/>
      <c r="CF258" s="64"/>
      <c r="CG258" s="64"/>
      <c r="CH258" s="64"/>
      <c r="CI258" s="64"/>
      <c r="CJ258" s="64"/>
      <c r="CK258" s="64"/>
      <c r="CL258" s="64"/>
      <c r="CM258" s="64"/>
      <c r="CN258" s="64"/>
      <c r="CO258" s="64"/>
      <c r="CP258" s="64"/>
      <c r="CQ258" s="64"/>
      <c r="CR258" s="64"/>
      <c r="CS258" s="64"/>
      <c r="CT258" s="64"/>
      <c r="CU258" s="64"/>
      <c r="CV258" s="64"/>
      <c r="CW258" s="64"/>
      <c r="CX258" s="64"/>
      <c r="CY258" s="64"/>
      <c r="CZ258" s="64"/>
      <c r="DA258" s="64"/>
      <c r="DB258" s="64"/>
      <c r="DC258" s="64"/>
      <c r="DD258" s="64"/>
      <c r="DE258" s="64"/>
      <c r="DF258" s="64"/>
      <c r="DG258" s="64"/>
      <c r="DH258" s="64"/>
      <c r="DI258" s="64"/>
      <c r="DJ258" s="64"/>
      <c r="DK258" s="64"/>
      <c r="DL258" s="64"/>
      <c r="DM258" s="64"/>
      <c r="DN258" s="64"/>
      <c r="DO258" s="64"/>
      <c r="DP258" s="64"/>
      <c r="DQ258" s="64"/>
      <c r="DR258" s="64"/>
      <c r="DS258" s="64"/>
      <c r="DT258" s="64"/>
      <c r="DU258" s="64"/>
      <c r="DV258" s="64"/>
      <c r="DW258" s="64"/>
      <c r="DX258" s="64"/>
      <c r="DY258" s="64"/>
      <c r="DZ258" s="64"/>
      <c r="EA258" s="64"/>
      <c r="EB258" s="64"/>
      <c r="EC258" s="64"/>
      <c r="ED258" s="64"/>
      <c r="EE258" s="64"/>
      <c r="EF258" s="64"/>
      <c r="EG258" s="64"/>
      <c r="EH258" s="64"/>
      <c r="EI258" s="64"/>
      <c r="EJ258" s="64"/>
      <c r="EK258" s="64"/>
      <c r="EL258" s="64"/>
      <c r="EM258" s="64"/>
      <c r="EN258" s="64"/>
      <c r="EO258" s="64"/>
      <c r="EP258" s="64"/>
      <c r="EQ258" s="64"/>
      <c r="ER258" s="64"/>
      <c r="ES258" s="64"/>
      <c r="ET258" s="64"/>
      <c r="EU258" s="64"/>
      <c r="EV258" s="64"/>
      <c r="EW258" s="64"/>
      <c r="EX258" s="64"/>
      <c r="EY258" s="64"/>
      <c r="EZ258" s="64"/>
      <c r="FA258" s="64"/>
      <c r="FB258" s="64"/>
      <c r="FC258" s="64"/>
      <c r="FD258" s="64"/>
      <c r="FE258" s="64"/>
      <c r="FF258" s="64"/>
      <c r="FG258" s="64"/>
      <c r="FH258" s="64"/>
      <c r="FI258" s="64"/>
      <c r="FJ258" s="64"/>
      <c r="FK258" s="64"/>
      <c r="FL258" s="64"/>
      <c r="FM258" s="64"/>
      <c r="FN258" s="64"/>
      <c r="FO258" s="64"/>
      <c r="FP258" s="64"/>
      <c r="FQ258" s="64"/>
      <c r="FR258" s="64"/>
      <c r="FS258" s="64"/>
      <c r="FT258" s="64"/>
      <c r="FU258" s="64"/>
      <c r="FV258" s="64"/>
      <c r="FW258" s="64"/>
      <c r="FX258" s="64"/>
      <c r="FY258" s="64"/>
      <c r="FZ258" s="64"/>
      <c r="GA258" s="64"/>
      <c r="GB258" s="64"/>
      <c r="GC258" s="64"/>
      <c r="GD258" s="64"/>
      <c r="GE258" s="64"/>
      <c r="GF258" s="64"/>
      <c r="GG258" s="64"/>
      <c r="GH258" s="64"/>
      <c r="GI258" s="64"/>
      <c r="GJ258" s="64"/>
      <c r="GK258" s="64"/>
      <c r="GL258" s="64"/>
      <c r="GM258" s="64"/>
      <c r="GN258" s="64"/>
      <c r="GO258" s="64"/>
      <c r="GP258" s="64"/>
      <c r="GQ258" s="64"/>
      <c r="GR258" s="64"/>
      <c r="GS258" s="64"/>
      <c r="GT258" s="64"/>
      <c r="GU258" s="64"/>
      <c r="GV258" s="64"/>
      <c r="GW258" s="64"/>
      <c r="GX258" s="64"/>
      <c r="GY258" s="64"/>
    </row>
    <row r="259" spans="1:207" s="33" customFormat="1" ht="39.950000000000003" hidden="1"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2"/>
      <c r="V259" s="13"/>
      <c r="W259" s="12"/>
      <c r="X259" s="12"/>
      <c r="Y259" s="12"/>
      <c r="Z259" s="12"/>
      <c r="AA259" s="12"/>
      <c r="AB259" s="39"/>
      <c r="AC259" s="39"/>
      <c r="AD259" s="39"/>
      <c r="AE259" s="39">
        <v>257</v>
      </c>
      <c r="AF259" s="44">
        <v>128.5</v>
      </c>
      <c r="AG259" s="63" t="s">
        <v>0</v>
      </c>
      <c r="AH259" s="64"/>
      <c r="AI259" s="64"/>
      <c r="AJ259" s="64"/>
      <c r="AK259" s="64"/>
      <c r="AL259" s="64"/>
      <c r="AM259" s="64"/>
      <c r="AN259" s="64"/>
      <c r="AO259" s="64"/>
      <c r="AP259" s="64"/>
      <c r="AQ259" s="64"/>
      <c r="AR259" s="64"/>
      <c r="AS259" s="64"/>
      <c r="AT259" s="64"/>
      <c r="AU259" s="64"/>
      <c r="AV259" s="64"/>
      <c r="AW259" s="64"/>
      <c r="AX259" s="64"/>
      <c r="AY259" s="64"/>
      <c r="AZ259" s="64"/>
      <c r="BA259" s="64"/>
      <c r="BB259" s="64"/>
      <c r="BC259" s="64"/>
      <c r="BD259" s="64"/>
      <c r="BE259" s="64"/>
      <c r="BF259" s="64"/>
      <c r="BG259" s="64"/>
      <c r="BH259" s="64"/>
      <c r="BI259" s="64"/>
      <c r="BJ259" s="64"/>
      <c r="BK259" s="64"/>
      <c r="BL259" s="64"/>
      <c r="BM259" s="64"/>
      <c r="BN259" s="64"/>
      <c r="BO259" s="64"/>
      <c r="BP259" s="64"/>
      <c r="BQ259" s="64"/>
      <c r="BR259" s="64"/>
      <c r="BS259" s="64"/>
      <c r="BT259" s="64"/>
      <c r="BU259" s="64"/>
      <c r="BV259" s="64"/>
      <c r="BW259" s="64"/>
      <c r="BX259" s="64"/>
      <c r="BY259" s="64"/>
      <c r="BZ259" s="64"/>
      <c r="CA259" s="64"/>
      <c r="CB259" s="64"/>
      <c r="CC259" s="64"/>
      <c r="CD259" s="64"/>
      <c r="CE259" s="64"/>
      <c r="CF259" s="64"/>
      <c r="CG259" s="64"/>
      <c r="CH259" s="64"/>
      <c r="CI259" s="64"/>
      <c r="CJ259" s="64"/>
      <c r="CK259" s="64"/>
      <c r="CL259" s="64"/>
      <c r="CM259" s="64"/>
      <c r="CN259" s="64"/>
      <c r="CO259" s="64"/>
      <c r="CP259" s="64"/>
      <c r="CQ259" s="64"/>
      <c r="CR259" s="64"/>
      <c r="CS259" s="64"/>
      <c r="CT259" s="64"/>
      <c r="CU259" s="64"/>
      <c r="CV259" s="64"/>
      <c r="CW259" s="64"/>
      <c r="CX259" s="64"/>
      <c r="CY259" s="64"/>
      <c r="CZ259" s="64"/>
      <c r="DA259" s="64"/>
      <c r="DB259" s="64"/>
      <c r="DC259" s="64"/>
      <c r="DD259" s="64"/>
      <c r="DE259" s="64"/>
      <c r="DF259" s="64"/>
      <c r="DG259" s="64"/>
      <c r="DH259" s="64"/>
      <c r="DI259" s="64"/>
      <c r="DJ259" s="64"/>
      <c r="DK259" s="64"/>
      <c r="DL259" s="64"/>
      <c r="DM259" s="64"/>
      <c r="DN259" s="64"/>
      <c r="DO259" s="64"/>
      <c r="DP259" s="64"/>
      <c r="DQ259" s="64"/>
      <c r="DR259" s="64"/>
      <c r="DS259" s="64"/>
      <c r="DT259" s="64"/>
      <c r="DU259" s="64"/>
      <c r="DV259" s="64"/>
      <c r="DW259" s="64"/>
      <c r="DX259" s="64"/>
      <c r="DY259" s="64"/>
      <c r="DZ259" s="64"/>
      <c r="EA259" s="64"/>
      <c r="EB259" s="64"/>
      <c r="EC259" s="64"/>
      <c r="ED259" s="64"/>
      <c r="EE259" s="64"/>
      <c r="EF259" s="64"/>
      <c r="EG259" s="64"/>
      <c r="EH259" s="64"/>
      <c r="EI259" s="64"/>
      <c r="EJ259" s="64"/>
      <c r="EK259" s="64"/>
      <c r="EL259" s="64"/>
      <c r="EM259" s="64"/>
      <c r="EN259" s="64"/>
      <c r="EO259" s="64"/>
      <c r="EP259" s="64"/>
      <c r="EQ259" s="64"/>
      <c r="ER259" s="64"/>
      <c r="ES259" s="64"/>
      <c r="ET259" s="64"/>
      <c r="EU259" s="64"/>
      <c r="EV259" s="64"/>
      <c r="EW259" s="64"/>
      <c r="EX259" s="64"/>
      <c r="EY259" s="64"/>
      <c r="EZ259" s="64"/>
      <c r="FA259" s="64"/>
      <c r="FB259" s="64"/>
      <c r="FC259" s="64"/>
      <c r="FD259" s="64"/>
      <c r="FE259" s="64"/>
      <c r="FF259" s="64"/>
      <c r="FG259" s="64"/>
      <c r="FH259" s="64"/>
      <c r="FI259" s="64"/>
      <c r="FJ259" s="64"/>
      <c r="FK259" s="64"/>
      <c r="FL259" s="64"/>
      <c r="FM259" s="64"/>
      <c r="FN259" s="64"/>
      <c r="FO259" s="64"/>
      <c r="FP259" s="64"/>
      <c r="FQ259" s="64"/>
      <c r="FR259" s="64"/>
      <c r="FS259" s="64"/>
      <c r="FT259" s="64"/>
      <c r="FU259" s="64"/>
      <c r="FV259" s="64"/>
      <c r="FW259" s="64"/>
      <c r="FX259" s="64"/>
      <c r="FY259" s="64"/>
      <c r="FZ259" s="64"/>
      <c r="GA259" s="64"/>
      <c r="GB259" s="64"/>
      <c r="GC259" s="64"/>
      <c r="GD259" s="64"/>
      <c r="GE259" s="64"/>
      <c r="GF259" s="64"/>
      <c r="GG259" s="64"/>
      <c r="GH259" s="64"/>
      <c r="GI259" s="64"/>
      <c r="GJ259" s="64"/>
      <c r="GK259" s="64"/>
      <c r="GL259" s="64"/>
      <c r="GM259" s="64"/>
      <c r="GN259" s="64"/>
      <c r="GO259" s="64"/>
      <c r="GP259" s="64"/>
      <c r="GQ259" s="64"/>
      <c r="GR259" s="64"/>
      <c r="GS259" s="64"/>
      <c r="GT259" s="64"/>
      <c r="GU259" s="64"/>
      <c r="GV259" s="64"/>
      <c r="GW259" s="64"/>
      <c r="GX259" s="64"/>
      <c r="GY259" s="64"/>
    </row>
    <row r="260" spans="1:207" s="33" customFormat="1" ht="39.950000000000003" hidden="1"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2"/>
      <c r="V260" s="13"/>
      <c r="W260" s="12"/>
      <c r="X260" s="12"/>
      <c r="Y260" s="12"/>
      <c r="Z260" s="12"/>
      <c r="AA260" s="12"/>
      <c r="AB260" s="39"/>
      <c r="AC260" s="39"/>
      <c r="AD260" s="39"/>
      <c r="AE260" s="39">
        <v>258</v>
      </c>
      <c r="AF260" s="44">
        <v>129</v>
      </c>
      <c r="AG260" s="63" t="s">
        <v>0</v>
      </c>
      <c r="AH260" s="64"/>
      <c r="AI260" s="64"/>
      <c r="AJ260" s="64"/>
      <c r="AK260" s="64"/>
      <c r="AL260" s="64"/>
      <c r="AM260" s="64"/>
      <c r="AN260" s="64"/>
      <c r="AO260" s="64"/>
      <c r="AP260" s="64"/>
      <c r="AQ260" s="64"/>
      <c r="AR260" s="64"/>
      <c r="AS260" s="64"/>
      <c r="AT260" s="64"/>
      <c r="AU260" s="64"/>
      <c r="AV260" s="64"/>
      <c r="AW260" s="64"/>
      <c r="AX260" s="64"/>
      <c r="AY260" s="64"/>
      <c r="AZ260" s="64"/>
      <c r="BA260" s="64"/>
      <c r="BB260" s="64"/>
      <c r="BC260" s="64"/>
      <c r="BD260" s="64"/>
      <c r="BE260" s="64"/>
      <c r="BF260" s="64"/>
      <c r="BG260" s="64"/>
      <c r="BH260" s="64"/>
      <c r="BI260" s="64"/>
      <c r="BJ260" s="64"/>
      <c r="BK260" s="64"/>
      <c r="BL260" s="64"/>
      <c r="BM260" s="64"/>
      <c r="BN260" s="64"/>
      <c r="BO260" s="64"/>
      <c r="BP260" s="64"/>
      <c r="BQ260" s="64"/>
      <c r="BR260" s="64"/>
      <c r="BS260" s="64"/>
      <c r="BT260" s="64"/>
      <c r="BU260" s="64"/>
      <c r="BV260" s="64"/>
      <c r="BW260" s="64"/>
      <c r="BX260" s="64"/>
      <c r="BY260" s="64"/>
      <c r="BZ260" s="64"/>
      <c r="CA260" s="64"/>
      <c r="CB260" s="64"/>
      <c r="CC260" s="64"/>
      <c r="CD260" s="64"/>
      <c r="CE260" s="64"/>
      <c r="CF260" s="64"/>
      <c r="CG260" s="64"/>
      <c r="CH260" s="64"/>
      <c r="CI260" s="64"/>
      <c r="CJ260" s="64"/>
      <c r="CK260" s="64"/>
      <c r="CL260" s="64"/>
      <c r="CM260" s="64"/>
      <c r="CN260" s="64"/>
      <c r="CO260" s="64"/>
      <c r="CP260" s="64"/>
      <c r="CQ260" s="64"/>
      <c r="CR260" s="64"/>
      <c r="CS260" s="64"/>
      <c r="CT260" s="64"/>
      <c r="CU260" s="64"/>
      <c r="CV260" s="64"/>
      <c r="CW260" s="64"/>
      <c r="CX260" s="64"/>
      <c r="CY260" s="64"/>
      <c r="CZ260" s="64"/>
      <c r="DA260" s="64"/>
      <c r="DB260" s="64"/>
      <c r="DC260" s="64"/>
      <c r="DD260" s="64"/>
      <c r="DE260" s="64"/>
      <c r="DF260" s="64"/>
      <c r="DG260" s="64"/>
      <c r="DH260" s="64"/>
      <c r="DI260" s="64"/>
      <c r="DJ260" s="64"/>
      <c r="DK260" s="64"/>
      <c r="DL260" s="64"/>
      <c r="DM260" s="64"/>
      <c r="DN260" s="64"/>
      <c r="DO260" s="64"/>
      <c r="DP260" s="64"/>
      <c r="DQ260" s="64"/>
      <c r="DR260" s="64"/>
      <c r="DS260" s="64"/>
      <c r="DT260" s="64"/>
      <c r="DU260" s="64"/>
      <c r="DV260" s="64"/>
      <c r="DW260" s="64"/>
      <c r="DX260" s="64"/>
      <c r="DY260" s="64"/>
      <c r="DZ260" s="64"/>
      <c r="EA260" s="64"/>
      <c r="EB260" s="64"/>
      <c r="EC260" s="64"/>
      <c r="ED260" s="64"/>
      <c r="EE260" s="64"/>
      <c r="EF260" s="64"/>
      <c r="EG260" s="64"/>
      <c r="EH260" s="64"/>
      <c r="EI260" s="64"/>
      <c r="EJ260" s="64"/>
      <c r="EK260" s="64"/>
      <c r="EL260" s="64"/>
      <c r="EM260" s="64"/>
      <c r="EN260" s="64"/>
      <c r="EO260" s="64"/>
      <c r="EP260" s="64"/>
      <c r="EQ260" s="64"/>
      <c r="ER260" s="64"/>
      <c r="ES260" s="64"/>
      <c r="ET260" s="64"/>
      <c r="EU260" s="64"/>
      <c r="EV260" s="64"/>
      <c r="EW260" s="64"/>
      <c r="EX260" s="64"/>
      <c r="EY260" s="64"/>
      <c r="EZ260" s="64"/>
      <c r="FA260" s="64"/>
      <c r="FB260" s="64"/>
      <c r="FC260" s="64"/>
      <c r="FD260" s="64"/>
      <c r="FE260" s="64"/>
      <c r="FF260" s="64"/>
      <c r="FG260" s="64"/>
      <c r="FH260" s="64"/>
      <c r="FI260" s="64"/>
      <c r="FJ260" s="64"/>
      <c r="FK260" s="64"/>
      <c r="FL260" s="64"/>
      <c r="FM260" s="64"/>
      <c r="FN260" s="64"/>
      <c r="FO260" s="64"/>
      <c r="FP260" s="64"/>
      <c r="FQ260" s="64"/>
      <c r="FR260" s="64"/>
      <c r="FS260" s="64"/>
      <c r="FT260" s="64"/>
      <c r="FU260" s="64"/>
      <c r="FV260" s="64"/>
      <c r="FW260" s="64"/>
      <c r="FX260" s="64"/>
      <c r="FY260" s="64"/>
      <c r="FZ260" s="64"/>
      <c r="GA260" s="64"/>
      <c r="GB260" s="64"/>
      <c r="GC260" s="64"/>
      <c r="GD260" s="64"/>
      <c r="GE260" s="64"/>
      <c r="GF260" s="64"/>
      <c r="GG260" s="64"/>
      <c r="GH260" s="64"/>
      <c r="GI260" s="64"/>
      <c r="GJ260" s="64"/>
      <c r="GK260" s="64"/>
      <c r="GL260" s="64"/>
      <c r="GM260" s="64"/>
      <c r="GN260" s="64"/>
      <c r="GO260" s="64"/>
      <c r="GP260" s="64"/>
      <c r="GQ260" s="64"/>
      <c r="GR260" s="64"/>
      <c r="GS260" s="64"/>
      <c r="GT260" s="64"/>
      <c r="GU260" s="64"/>
      <c r="GV260" s="64"/>
      <c r="GW260" s="64"/>
      <c r="GX260" s="64"/>
      <c r="GY260" s="64"/>
    </row>
    <row r="261" spans="1:207" s="33" customFormat="1" ht="39.950000000000003" hidden="1"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2"/>
      <c r="V261" s="13"/>
      <c r="W261" s="12"/>
      <c r="X261" s="12"/>
      <c r="Y261" s="12"/>
      <c r="Z261" s="12"/>
      <c r="AA261" s="12"/>
      <c r="AB261" s="39"/>
      <c r="AC261" s="39"/>
      <c r="AD261" s="39"/>
      <c r="AE261" s="39">
        <v>259</v>
      </c>
      <c r="AF261" s="44">
        <v>129.5</v>
      </c>
      <c r="AG261" s="63" t="s">
        <v>0</v>
      </c>
      <c r="AH261" s="64"/>
      <c r="AI261" s="64"/>
      <c r="AJ261" s="64"/>
      <c r="AK261" s="64"/>
      <c r="AL261" s="64"/>
      <c r="AM261" s="64"/>
      <c r="AN261" s="64"/>
      <c r="AO261" s="64"/>
      <c r="AP261" s="64"/>
      <c r="AQ261" s="64"/>
      <c r="AR261" s="64"/>
      <c r="AS261" s="64"/>
      <c r="AT261" s="64"/>
      <c r="AU261" s="64"/>
      <c r="AV261" s="64"/>
      <c r="AW261" s="64"/>
      <c r="AX261" s="64"/>
      <c r="AY261" s="64"/>
      <c r="AZ261" s="64"/>
      <c r="BA261" s="64"/>
      <c r="BB261" s="64"/>
      <c r="BC261" s="64"/>
      <c r="BD261" s="64"/>
      <c r="BE261" s="64"/>
      <c r="BF261" s="64"/>
      <c r="BG261" s="64"/>
      <c r="BH261" s="64"/>
      <c r="BI261" s="64"/>
      <c r="BJ261" s="64"/>
      <c r="BK261" s="64"/>
      <c r="BL261" s="64"/>
      <c r="BM261" s="64"/>
      <c r="BN261" s="64"/>
      <c r="BO261" s="64"/>
      <c r="BP261" s="64"/>
      <c r="BQ261" s="64"/>
      <c r="BR261" s="64"/>
      <c r="BS261" s="64"/>
      <c r="BT261" s="64"/>
      <c r="BU261" s="64"/>
      <c r="BV261" s="64"/>
      <c r="BW261" s="64"/>
      <c r="BX261" s="64"/>
      <c r="BY261" s="64"/>
      <c r="BZ261" s="64"/>
      <c r="CA261" s="64"/>
      <c r="CB261" s="64"/>
      <c r="CC261" s="64"/>
      <c r="CD261" s="64"/>
      <c r="CE261" s="64"/>
      <c r="CF261" s="64"/>
      <c r="CG261" s="64"/>
      <c r="CH261" s="64"/>
      <c r="CI261" s="64"/>
      <c r="CJ261" s="64"/>
      <c r="CK261" s="64"/>
      <c r="CL261" s="64"/>
      <c r="CM261" s="64"/>
      <c r="CN261" s="64"/>
      <c r="CO261" s="64"/>
      <c r="CP261" s="64"/>
      <c r="CQ261" s="64"/>
      <c r="CR261" s="64"/>
      <c r="CS261" s="64"/>
      <c r="CT261" s="64"/>
      <c r="CU261" s="64"/>
      <c r="CV261" s="64"/>
      <c r="CW261" s="64"/>
      <c r="CX261" s="64"/>
      <c r="CY261" s="64"/>
      <c r="CZ261" s="64"/>
      <c r="DA261" s="64"/>
      <c r="DB261" s="64"/>
      <c r="DC261" s="64"/>
      <c r="DD261" s="64"/>
      <c r="DE261" s="64"/>
      <c r="DF261" s="64"/>
      <c r="DG261" s="64"/>
      <c r="DH261" s="64"/>
      <c r="DI261" s="64"/>
      <c r="DJ261" s="64"/>
      <c r="DK261" s="64"/>
      <c r="DL261" s="64"/>
      <c r="DM261" s="64"/>
      <c r="DN261" s="64"/>
      <c r="DO261" s="64"/>
      <c r="DP261" s="64"/>
      <c r="DQ261" s="64"/>
      <c r="DR261" s="64"/>
      <c r="DS261" s="64"/>
      <c r="DT261" s="64"/>
      <c r="DU261" s="64"/>
      <c r="DV261" s="64"/>
      <c r="DW261" s="64"/>
      <c r="DX261" s="64"/>
      <c r="DY261" s="64"/>
      <c r="DZ261" s="64"/>
      <c r="EA261" s="64"/>
      <c r="EB261" s="64"/>
      <c r="EC261" s="64"/>
      <c r="ED261" s="64"/>
      <c r="EE261" s="64"/>
      <c r="EF261" s="64"/>
      <c r="EG261" s="64"/>
      <c r="EH261" s="64"/>
      <c r="EI261" s="64"/>
      <c r="EJ261" s="64"/>
      <c r="EK261" s="64"/>
      <c r="EL261" s="64"/>
      <c r="EM261" s="64"/>
      <c r="EN261" s="64"/>
      <c r="EO261" s="64"/>
      <c r="EP261" s="64"/>
      <c r="EQ261" s="64"/>
      <c r="ER261" s="64"/>
      <c r="ES261" s="64"/>
      <c r="ET261" s="64"/>
      <c r="EU261" s="64"/>
      <c r="EV261" s="64"/>
      <c r="EW261" s="64"/>
      <c r="EX261" s="64"/>
      <c r="EY261" s="64"/>
      <c r="EZ261" s="64"/>
      <c r="FA261" s="64"/>
      <c r="FB261" s="64"/>
      <c r="FC261" s="64"/>
      <c r="FD261" s="64"/>
      <c r="FE261" s="64"/>
      <c r="FF261" s="64"/>
      <c r="FG261" s="64"/>
      <c r="FH261" s="64"/>
      <c r="FI261" s="64"/>
      <c r="FJ261" s="64"/>
      <c r="FK261" s="64"/>
      <c r="FL261" s="64"/>
      <c r="FM261" s="64"/>
      <c r="FN261" s="64"/>
      <c r="FO261" s="64"/>
      <c r="FP261" s="64"/>
      <c r="FQ261" s="64"/>
      <c r="FR261" s="64"/>
      <c r="FS261" s="64"/>
      <c r="FT261" s="64"/>
      <c r="FU261" s="64"/>
      <c r="FV261" s="64"/>
      <c r="FW261" s="64"/>
      <c r="FX261" s="64"/>
      <c r="FY261" s="64"/>
      <c r="FZ261" s="64"/>
      <c r="GA261" s="64"/>
      <c r="GB261" s="64"/>
      <c r="GC261" s="64"/>
      <c r="GD261" s="64"/>
      <c r="GE261" s="64"/>
      <c r="GF261" s="64"/>
      <c r="GG261" s="64"/>
      <c r="GH261" s="64"/>
      <c r="GI261" s="64"/>
      <c r="GJ261" s="64"/>
      <c r="GK261" s="64"/>
      <c r="GL261" s="64"/>
      <c r="GM261" s="64"/>
      <c r="GN261" s="64"/>
      <c r="GO261" s="64"/>
      <c r="GP261" s="64"/>
      <c r="GQ261" s="64"/>
      <c r="GR261" s="64"/>
      <c r="GS261" s="64"/>
      <c r="GT261" s="64"/>
      <c r="GU261" s="64"/>
      <c r="GV261" s="64"/>
      <c r="GW261" s="64"/>
      <c r="GX261" s="64"/>
      <c r="GY261" s="64"/>
    </row>
    <row r="262" spans="1:207" s="33" customFormat="1" ht="39.950000000000003" hidden="1"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2"/>
      <c r="V262" s="13"/>
      <c r="W262" s="12"/>
      <c r="X262" s="12"/>
      <c r="Y262" s="12"/>
      <c r="Z262" s="12"/>
      <c r="AA262" s="12"/>
      <c r="AB262" s="39"/>
      <c r="AC262" s="39"/>
      <c r="AD262" s="39"/>
      <c r="AE262" s="39">
        <v>260</v>
      </c>
      <c r="AF262" s="44">
        <v>130</v>
      </c>
      <c r="AG262" s="63" t="s">
        <v>0</v>
      </c>
      <c r="AH262" s="64"/>
      <c r="AI262" s="64"/>
      <c r="AJ262" s="64"/>
      <c r="AK262" s="64"/>
      <c r="AL262" s="64"/>
      <c r="AM262" s="64"/>
      <c r="AN262" s="64"/>
      <c r="AO262" s="64"/>
      <c r="AP262" s="64"/>
      <c r="AQ262" s="64"/>
      <c r="AR262" s="64"/>
      <c r="AS262" s="64"/>
      <c r="AT262" s="64"/>
      <c r="AU262" s="64"/>
      <c r="AV262" s="64"/>
      <c r="AW262" s="64"/>
      <c r="AX262" s="64"/>
      <c r="AY262" s="64"/>
      <c r="AZ262" s="64"/>
      <c r="BA262" s="64"/>
      <c r="BB262" s="64"/>
      <c r="BC262" s="64"/>
      <c r="BD262" s="64"/>
      <c r="BE262" s="64"/>
      <c r="BF262" s="64"/>
      <c r="BG262" s="64"/>
      <c r="BH262" s="64"/>
      <c r="BI262" s="64"/>
      <c r="BJ262" s="64"/>
      <c r="BK262" s="64"/>
      <c r="BL262" s="64"/>
      <c r="BM262" s="64"/>
      <c r="BN262" s="64"/>
      <c r="BO262" s="64"/>
      <c r="BP262" s="64"/>
      <c r="BQ262" s="64"/>
      <c r="BR262" s="64"/>
      <c r="BS262" s="64"/>
      <c r="BT262" s="64"/>
      <c r="BU262" s="64"/>
      <c r="BV262" s="64"/>
      <c r="BW262" s="64"/>
      <c r="BX262" s="64"/>
      <c r="BY262" s="64"/>
      <c r="BZ262" s="64"/>
      <c r="CA262" s="64"/>
      <c r="CB262" s="64"/>
      <c r="CC262" s="64"/>
      <c r="CD262" s="64"/>
      <c r="CE262" s="64"/>
      <c r="CF262" s="64"/>
      <c r="CG262" s="64"/>
      <c r="CH262" s="64"/>
      <c r="CI262" s="64"/>
      <c r="CJ262" s="64"/>
      <c r="CK262" s="64"/>
      <c r="CL262" s="64"/>
      <c r="CM262" s="64"/>
      <c r="CN262" s="64"/>
      <c r="CO262" s="64"/>
      <c r="CP262" s="64"/>
      <c r="CQ262" s="64"/>
      <c r="CR262" s="64"/>
      <c r="CS262" s="64"/>
      <c r="CT262" s="64"/>
      <c r="CU262" s="64"/>
      <c r="CV262" s="64"/>
      <c r="CW262" s="64"/>
      <c r="CX262" s="64"/>
      <c r="CY262" s="64"/>
      <c r="CZ262" s="64"/>
      <c r="DA262" s="64"/>
      <c r="DB262" s="64"/>
      <c r="DC262" s="64"/>
      <c r="DD262" s="64"/>
      <c r="DE262" s="64"/>
      <c r="DF262" s="64"/>
      <c r="DG262" s="64"/>
      <c r="DH262" s="64"/>
      <c r="DI262" s="64"/>
      <c r="DJ262" s="64"/>
      <c r="DK262" s="64"/>
      <c r="DL262" s="64"/>
      <c r="DM262" s="64"/>
      <c r="DN262" s="64"/>
      <c r="DO262" s="64"/>
      <c r="DP262" s="64"/>
      <c r="DQ262" s="64"/>
      <c r="DR262" s="64"/>
      <c r="DS262" s="64"/>
      <c r="DT262" s="64"/>
      <c r="DU262" s="64"/>
      <c r="DV262" s="64"/>
      <c r="DW262" s="64"/>
      <c r="DX262" s="64"/>
      <c r="DY262" s="64"/>
      <c r="DZ262" s="64"/>
      <c r="EA262" s="64"/>
      <c r="EB262" s="64"/>
      <c r="EC262" s="64"/>
      <c r="ED262" s="64"/>
      <c r="EE262" s="64"/>
      <c r="EF262" s="64"/>
      <c r="EG262" s="64"/>
      <c r="EH262" s="64"/>
      <c r="EI262" s="64"/>
      <c r="EJ262" s="64"/>
      <c r="EK262" s="64"/>
      <c r="EL262" s="64"/>
      <c r="EM262" s="64"/>
      <c r="EN262" s="64"/>
      <c r="EO262" s="64"/>
      <c r="EP262" s="64"/>
      <c r="EQ262" s="64"/>
      <c r="ER262" s="64"/>
      <c r="ES262" s="64"/>
      <c r="ET262" s="64"/>
      <c r="EU262" s="64"/>
      <c r="EV262" s="64"/>
      <c r="EW262" s="64"/>
      <c r="EX262" s="64"/>
      <c r="EY262" s="64"/>
      <c r="EZ262" s="64"/>
      <c r="FA262" s="64"/>
      <c r="FB262" s="64"/>
      <c r="FC262" s="64"/>
      <c r="FD262" s="64"/>
      <c r="FE262" s="64"/>
      <c r="FF262" s="64"/>
      <c r="FG262" s="64"/>
      <c r="FH262" s="64"/>
      <c r="FI262" s="64"/>
      <c r="FJ262" s="64"/>
      <c r="FK262" s="64"/>
      <c r="FL262" s="64"/>
      <c r="FM262" s="64"/>
      <c r="FN262" s="64"/>
      <c r="FO262" s="64"/>
      <c r="FP262" s="64"/>
      <c r="FQ262" s="64"/>
      <c r="FR262" s="64"/>
      <c r="FS262" s="64"/>
      <c r="FT262" s="64"/>
      <c r="FU262" s="64"/>
      <c r="FV262" s="64"/>
      <c r="FW262" s="64"/>
      <c r="FX262" s="64"/>
      <c r="FY262" s="64"/>
      <c r="FZ262" s="64"/>
      <c r="GA262" s="64"/>
      <c r="GB262" s="64"/>
      <c r="GC262" s="64"/>
      <c r="GD262" s="64"/>
      <c r="GE262" s="64"/>
      <c r="GF262" s="64"/>
      <c r="GG262" s="64"/>
      <c r="GH262" s="64"/>
      <c r="GI262" s="64"/>
      <c r="GJ262" s="64"/>
      <c r="GK262" s="64"/>
      <c r="GL262" s="64"/>
      <c r="GM262" s="64"/>
      <c r="GN262" s="64"/>
      <c r="GO262" s="64"/>
      <c r="GP262" s="64"/>
      <c r="GQ262" s="64"/>
      <c r="GR262" s="64"/>
      <c r="GS262" s="64"/>
      <c r="GT262" s="64"/>
      <c r="GU262" s="64"/>
      <c r="GV262" s="64"/>
      <c r="GW262" s="64"/>
      <c r="GX262" s="64"/>
      <c r="GY262" s="64"/>
    </row>
    <row r="263" spans="1:207" s="33" customFormat="1" ht="39.950000000000003" hidden="1"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2"/>
      <c r="V263" s="13"/>
      <c r="W263" s="12"/>
      <c r="X263" s="12"/>
      <c r="Y263" s="12"/>
      <c r="Z263" s="12"/>
      <c r="AA263" s="12"/>
      <c r="AB263" s="39"/>
      <c r="AC263" s="39"/>
      <c r="AD263" s="39"/>
      <c r="AE263" s="39">
        <v>261</v>
      </c>
      <c r="AF263" s="44">
        <v>130.5</v>
      </c>
      <c r="AG263" s="63" t="s">
        <v>0</v>
      </c>
      <c r="AH263" s="64"/>
      <c r="AI263" s="64"/>
      <c r="AJ263" s="64"/>
      <c r="AK263" s="64"/>
      <c r="AL263" s="64"/>
      <c r="AM263" s="64"/>
      <c r="AN263" s="64"/>
      <c r="AO263" s="64"/>
      <c r="AP263" s="64"/>
      <c r="AQ263" s="64"/>
      <c r="AR263" s="64"/>
      <c r="AS263" s="64"/>
      <c r="AT263" s="64"/>
      <c r="AU263" s="64"/>
      <c r="AV263" s="64"/>
      <c r="AW263" s="64"/>
      <c r="AX263" s="64"/>
      <c r="AY263" s="64"/>
      <c r="AZ263" s="64"/>
      <c r="BA263" s="64"/>
      <c r="BB263" s="64"/>
      <c r="BC263" s="64"/>
      <c r="BD263" s="64"/>
      <c r="BE263" s="64"/>
      <c r="BF263" s="64"/>
      <c r="BG263" s="64"/>
      <c r="BH263" s="64"/>
      <c r="BI263" s="64"/>
      <c r="BJ263" s="64"/>
      <c r="BK263" s="64"/>
      <c r="BL263" s="64"/>
      <c r="BM263" s="64"/>
      <c r="BN263" s="64"/>
      <c r="BO263" s="64"/>
      <c r="BP263" s="64"/>
      <c r="BQ263" s="64"/>
      <c r="BR263" s="64"/>
      <c r="BS263" s="64"/>
      <c r="BT263" s="64"/>
      <c r="BU263" s="64"/>
      <c r="BV263" s="64"/>
      <c r="BW263" s="64"/>
      <c r="BX263" s="64"/>
      <c r="BY263" s="64"/>
      <c r="BZ263" s="64"/>
      <c r="CA263" s="64"/>
      <c r="CB263" s="64"/>
      <c r="CC263" s="64"/>
      <c r="CD263" s="64"/>
      <c r="CE263" s="64"/>
      <c r="CF263" s="64"/>
      <c r="CG263" s="64"/>
      <c r="CH263" s="64"/>
      <c r="CI263" s="64"/>
      <c r="CJ263" s="64"/>
      <c r="CK263" s="64"/>
      <c r="CL263" s="64"/>
      <c r="CM263" s="64"/>
      <c r="CN263" s="64"/>
      <c r="CO263" s="64"/>
      <c r="CP263" s="64"/>
      <c r="CQ263" s="64"/>
      <c r="CR263" s="64"/>
      <c r="CS263" s="64"/>
      <c r="CT263" s="64"/>
      <c r="CU263" s="64"/>
      <c r="CV263" s="64"/>
      <c r="CW263" s="64"/>
      <c r="CX263" s="64"/>
      <c r="CY263" s="64"/>
      <c r="CZ263" s="64"/>
      <c r="DA263" s="64"/>
      <c r="DB263" s="64"/>
      <c r="DC263" s="64"/>
      <c r="DD263" s="64"/>
      <c r="DE263" s="64"/>
      <c r="DF263" s="64"/>
      <c r="DG263" s="64"/>
      <c r="DH263" s="64"/>
      <c r="DI263" s="64"/>
      <c r="DJ263" s="64"/>
      <c r="DK263" s="64"/>
      <c r="DL263" s="64"/>
      <c r="DM263" s="64"/>
      <c r="DN263" s="64"/>
      <c r="DO263" s="64"/>
      <c r="DP263" s="64"/>
      <c r="DQ263" s="64"/>
      <c r="DR263" s="64"/>
      <c r="DS263" s="64"/>
      <c r="DT263" s="64"/>
      <c r="DU263" s="64"/>
      <c r="DV263" s="64"/>
      <c r="DW263" s="64"/>
      <c r="DX263" s="64"/>
      <c r="DY263" s="64"/>
      <c r="DZ263" s="64"/>
      <c r="EA263" s="64"/>
      <c r="EB263" s="64"/>
      <c r="EC263" s="64"/>
      <c r="ED263" s="64"/>
      <c r="EE263" s="64"/>
      <c r="EF263" s="64"/>
      <c r="EG263" s="64"/>
      <c r="EH263" s="64"/>
      <c r="EI263" s="64"/>
      <c r="EJ263" s="64"/>
      <c r="EK263" s="64"/>
      <c r="EL263" s="64"/>
      <c r="EM263" s="64"/>
      <c r="EN263" s="64"/>
      <c r="EO263" s="64"/>
      <c r="EP263" s="64"/>
      <c r="EQ263" s="64"/>
      <c r="ER263" s="64"/>
      <c r="ES263" s="64"/>
      <c r="ET263" s="64"/>
      <c r="EU263" s="64"/>
      <c r="EV263" s="64"/>
      <c r="EW263" s="64"/>
      <c r="EX263" s="64"/>
      <c r="EY263" s="64"/>
      <c r="EZ263" s="64"/>
      <c r="FA263" s="64"/>
      <c r="FB263" s="64"/>
      <c r="FC263" s="64"/>
      <c r="FD263" s="64"/>
      <c r="FE263" s="64"/>
      <c r="FF263" s="64"/>
      <c r="FG263" s="64"/>
      <c r="FH263" s="64"/>
      <c r="FI263" s="64"/>
      <c r="FJ263" s="64"/>
      <c r="FK263" s="64"/>
      <c r="FL263" s="64"/>
      <c r="FM263" s="64"/>
      <c r="FN263" s="64"/>
      <c r="FO263" s="64"/>
      <c r="FP263" s="64"/>
      <c r="FQ263" s="64"/>
      <c r="FR263" s="64"/>
      <c r="FS263" s="64"/>
      <c r="FT263" s="64"/>
      <c r="FU263" s="64"/>
      <c r="FV263" s="64"/>
      <c r="FW263" s="64"/>
      <c r="FX263" s="64"/>
      <c r="FY263" s="64"/>
      <c r="FZ263" s="64"/>
      <c r="GA263" s="64"/>
      <c r="GB263" s="64"/>
      <c r="GC263" s="64"/>
      <c r="GD263" s="64"/>
      <c r="GE263" s="64"/>
      <c r="GF263" s="64"/>
      <c r="GG263" s="64"/>
      <c r="GH263" s="64"/>
      <c r="GI263" s="64"/>
      <c r="GJ263" s="64"/>
      <c r="GK263" s="64"/>
      <c r="GL263" s="64"/>
      <c r="GM263" s="64"/>
      <c r="GN263" s="64"/>
      <c r="GO263" s="64"/>
      <c r="GP263" s="64"/>
      <c r="GQ263" s="64"/>
      <c r="GR263" s="64"/>
      <c r="GS263" s="64"/>
      <c r="GT263" s="64"/>
      <c r="GU263" s="64"/>
      <c r="GV263" s="64"/>
      <c r="GW263" s="64"/>
      <c r="GX263" s="64"/>
      <c r="GY263" s="64"/>
    </row>
    <row r="264" spans="1:207" s="33" customFormat="1" ht="39.950000000000003" hidden="1"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2"/>
      <c r="V264" s="13"/>
      <c r="W264" s="12"/>
      <c r="X264" s="12"/>
      <c r="Y264" s="12"/>
      <c r="Z264" s="12"/>
      <c r="AA264" s="12"/>
      <c r="AB264" s="39"/>
      <c r="AC264" s="39"/>
      <c r="AD264" s="39"/>
      <c r="AE264" s="39">
        <v>262</v>
      </c>
      <c r="AF264" s="44">
        <v>131</v>
      </c>
      <c r="AG264" s="63" t="s">
        <v>0</v>
      </c>
      <c r="AH264" s="64"/>
      <c r="AI264" s="64"/>
      <c r="AJ264" s="64"/>
      <c r="AK264" s="64"/>
      <c r="AL264" s="64"/>
      <c r="AM264" s="64"/>
      <c r="AN264" s="64"/>
      <c r="AO264" s="64"/>
      <c r="AP264" s="64"/>
      <c r="AQ264" s="64"/>
      <c r="AR264" s="64"/>
      <c r="AS264" s="64"/>
      <c r="AT264" s="64"/>
      <c r="AU264" s="64"/>
      <c r="AV264" s="64"/>
      <c r="AW264" s="64"/>
      <c r="AX264" s="64"/>
      <c r="AY264" s="64"/>
      <c r="AZ264" s="64"/>
      <c r="BA264" s="64"/>
      <c r="BB264" s="64"/>
      <c r="BC264" s="64"/>
      <c r="BD264" s="64"/>
      <c r="BE264" s="64"/>
      <c r="BF264" s="64"/>
      <c r="BG264" s="64"/>
      <c r="BH264" s="64"/>
      <c r="BI264" s="64"/>
      <c r="BJ264" s="64"/>
      <c r="BK264" s="64"/>
      <c r="BL264" s="64"/>
      <c r="BM264" s="64"/>
      <c r="BN264" s="64"/>
      <c r="BO264" s="64"/>
      <c r="BP264" s="64"/>
      <c r="BQ264" s="64"/>
      <c r="BR264" s="64"/>
      <c r="BS264" s="64"/>
      <c r="BT264" s="64"/>
      <c r="BU264" s="64"/>
      <c r="BV264" s="64"/>
      <c r="BW264" s="64"/>
      <c r="BX264" s="64"/>
      <c r="BY264" s="64"/>
      <c r="BZ264" s="64"/>
      <c r="CA264" s="64"/>
      <c r="CB264" s="64"/>
      <c r="CC264" s="64"/>
      <c r="CD264" s="64"/>
      <c r="CE264" s="64"/>
      <c r="CF264" s="64"/>
      <c r="CG264" s="64"/>
      <c r="CH264" s="64"/>
      <c r="CI264" s="64"/>
      <c r="CJ264" s="64"/>
      <c r="CK264" s="64"/>
      <c r="CL264" s="64"/>
      <c r="CM264" s="64"/>
      <c r="CN264" s="64"/>
      <c r="CO264" s="64"/>
      <c r="CP264" s="64"/>
      <c r="CQ264" s="64"/>
      <c r="CR264" s="64"/>
      <c r="CS264" s="64"/>
      <c r="CT264" s="64"/>
      <c r="CU264" s="64"/>
      <c r="CV264" s="64"/>
      <c r="CW264" s="64"/>
      <c r="CX264" s="64"/>
      <c r="CY264" s="64"/>
      <c r="CZ264" s="64"/>
      <c r="DA264" s="64"/>
      <c r="DB264" s="64"/>
      <c r="DC264" s="64"/>
      <c r="DD264" s="64"/>
      <c r="DE264" s="64"/>
      <c r="DF264" s="64"/>
      <c r="DG264" s="64"/>
      <c r="DH264" s="64"/>
      <c r="DI264" s="64"/>
      <c r="DJ264" s="64"/>
      <c r="DK264" s="64"/>
      <c r="DL264" s="64"/>
      <c r="DM264" s="64"/>
      <c r="DN264" s="64"/>
      <c r="DO264" s="64"/>
      <c r="DP264" s="64"/>
      <c r="DQ264" s="64"/>
      <c r="DR264" s="64"/>
      <c r="DS264" s="64"/>
      <c r="DT264" s="64"/>
      <c r="DU264" s="64"/>
      <c r="DV264" s="64"/>
      <c r="DW264" s="64"/>
      <c r="DX264" s="64"/>
      <c r="DY264" s="64"/>
      <c r="DZ264" s="64"/>
      <c r="EA264" s="64"/>
      <c r="EB264" s="64"/>
      <c r="EC264" s="64"/>
      <c r="ED264" s="64"/>
      <c r="EE264" s="64"/>
      <c r="EF264" s="64"/>
      <c r="EG264" s="64"/>
      <c r="EH264" s="64"/>
      <c r="EI264" s="64"/>
      <c r="EJ264" s="64"/>
      <c r="EK264" s="64"/>
      <c r="EL264" s="64"/>
      <c r="EM264" s="64"/>
      <c r="EN264" s="64"/>
      <c r="EO264" s="64"/>
      <c r="EP264" s="64"/>
      <c r="EQ264" s="64"/>
      <c r="ER264" s="64"/>
      <c r="ES264" s="64"/>
      <c r="ET264" s="64"/>
      <c r="EU264" s="64"/>
      <c r="EV264" s="64"/>
      <c r="EW264" s="64"/>
      <c r="EX264" s="64"/>
      <c r="EY264" s="64"/>
      <c r="EZ264" s="64"/>
      <c r="FA264" s="64"/>
      <c r="FB264" s="64"/>
      <c r="FC264" s="64"/>
      <c r="FD264" s="64"/>
      <c r="FE264" s="64"/>
      <c r="FF264" s="64"/>
      <c r="FG264" s="64"/>
      <c r="FH264" s="64"/>
      <c r="FI264" s="64"/>
      <c r="FJ264" s="64"/>
      <c r="FK264" s="64"/>
      <c r="FL264" s="64"/>
      <c r="FM264" s="64"/>
      <c r="FN264" s="64"/>
      <c r="FO264" s="64"/>
      <c r="FP264" s="64"/>
      <c r="FQ264" s="64"/>
      <c r="FR264" s="64"/>
      <c r="FS264" s="64"/>
      <c r="FT264" s="64"/>
      <c r="FU264" s="64"/>
      <c r="FV264" s="64"/>
      <c r="FW264" s="64"/>
      <c r="FX264" s="64"/>
      <c r="FY264" s="64"/>
      <c r="FZ264" s="64"/>
      <c r="GA264" s="64"/>
      <c r="GB264" s="64"/>
      <c r="GC264" s="64"/>
      <c r="GD264" s="64"/>
      <c r="GE264" s="64"/>
      <c r="GF264" s="64"/>
      <c r="GG264" s="64"/>
      <c r="GH264" s="64"/>
      <c r="GI264" s="64"/>
      <c r="GJ264" s="64"/>
      <c r="GK264" s="64"/>
      <c r="GL264" s="64"/>
      <c r="GM264" s="64"/>
      <c r="GN264" s="64"/>
      <c r="GO264" s="64"/>
      <c r="GP264" s="64"/>
      <c r="GQ264" s="64"/>
      <c r="GR264" s="64"/>
      <c r="GS264" s="64"/>
      <c r="GT264" s="64"/>
      <c r="GU264" s="64"/>
      <c r="GV264" s="64"/>
      <c r="GW264" s="64"/>
      <c r="GX264" s="64"/>
      <c r="GY264" s="64"/>
    </row>
    <row r="265" spans="1:207" s="33" customFormat="1" ht="39.950000000000003" hidden="1"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2"/>
      <c r="V265" s="13"/>
      <c r="W265" s="12"/>
      <c r="X265" s="12"/>
      <c r="Y265" s="12"/>
      <c r="Z265" s="12"/>
      <c r="AA265" s="12"/>
      <c r="AB265" s="39"/>
      <c r="AC265" s="39"/>
      <c r="AD265" s="39"/>
      <c r="AE265" s="39">
        <v>263</v>
      </c>
      <c r="AF265" s="44">
        <v>131.5</v>
      </c>
      <c r="AG265" s="63" t="s">
        <v>0</v>
      </c>
      <c r="AH265" s="64"/>
      <c r="AI265" s="64"/>
      <c r="AJ265" s="64"/>
      <c r="AK265" s="64"/>
      <c r="AL265" s="64"/>
      <c r="AM265" s="64"/>
      <c r="AN265" s="64"/>
      <c r="AO265" s="64"/>
      <c r="AP265" s="64"/>
      <c r="AQ265" s="64"/>
      <c r="AR265" s="64"/>
      <c r="AS265" s="64"/>
      <c r="AT265" s="64"/>
      <c r="AU265" s="64"/>
      <c r="AV265" s="64"/>
      <c r="AW265" s="64"/>
      <c r="AX265" s="64"/>
      <c r="AY265" s="64"/>
      <c r="AZ265" s="64"/>
      <c r="BA265" s="64"/>
      <c r="BB265" s="64"/>
      <c r="BC265" s="64"/>
      <c r="BD265" s="64"/>
      <c r="BE265" s="64"/>
      <c r="BF265" s="64"/>
      <c r="BG265" s="64"/>
      <c r="BH265" s="64"/>
      <c r="BI265" s="64"/>
      <c r="BJ265" s="64"/>
      <c r="BK265" s="64"/>
      <c r="BL265" s="64"/>
      <c r="BM265" s="64"/>
      <c r="BN265" s="64"/>
      <c r="BO265" s="64"/>
      <c r="BP265" s="64"/>
      <c r="BQ265" s="64"/>
      <c r="BR265" s="64"/>
      <c r="BS265" s="64"/>
      <c r="BT265" s="64"/>
      <c r="BU265" s="64"/>
      <c r="BV265" s="64"/>
      <c r="BW265" s="64"/>
      <c r="BX265" s="64"/>
      <c r="BY265" s="64"/>
      <c r="BZ265" s="64"/>
      <c r="CA265" s="64"/>
      <c r="CB265" s="64"/>
      <c r="CC265" s="64"/>
      <c r="CD265" s="64"/>
      <c r="CE265" s="64"/>
      <c r="CF265" s="64"/>
      <c r="CG265" s="64"/>
      <c r="CH265" s="64"/>
      <c r="CI265" s="64"/>
      <c r="CJ265" s="64"/>
      <c r="CK265" s="64"/>
      <c r="CL265" s="64"/>
      <c r="CM265" s="64"/>
      <c r="CN265" s="64"/>
      <c r="CO265" s="64"/>
      <c r="CP265" s="64"/>
      <c r="CQ265" s="64"/>
      <c r="CR265" s="64"/>
      <c r="CS265" s="64"/>
      <c r="CT265" s="64"/>
      <c r="CU265" s="64"/>
      <c r="CV265" s="64"/>
      <c r="CW265" s="64"/>
      <c r="CX265" s="64"/>
      <c r="CY265" s="64"/>
      <c r="CZ265" s="64"/>
      <c r="DA265" s="64"/>
      <c r="DB265" s="64"/>
      <c r="DC265" s="64"/>
      <c r="DD265" s="64"/>
      <c r="DE265" s="64"/>
      <c r="DF265" s="64"/>
      <c r="DG265" s="64"/>
      <c r="DH265" s="64"/>
      <c r="DI265" s="64"/>
      <c r="DJ265" s="64"/>
      <c r="DK265" s="64"/>
      <c r="DL265" s="64"/>
      <c r="DM265" s="64"/>
      <c r="DN265" s="64"/>
      <c r="DO265" s="64"/>
      <c r="DP265" s="64"/>
      <c r="DQ265" s="64"/>
      <c r="DR265" s="64"/>
      <c r="DS265" s="64"/>
      <c r="DT265" s="64"/>
      <c r="DU265" s="64"/>
      <c r="DV265" s="64"/>
      <c r="DW265" s="64"/>
      <c r="DX265" s="64"/>
      <c r="DY265" s="64"/>
      <c r="DZ265" s="64"/>
      <c r="EA265" s="64"/>
      <c r="EB265" s="64"/>
      <c r="EC265" s="64"/>
      <c r="ED265" s="64"/>
      <c r="EE265" s="64"/>
      <c r="EF265" s="64"/>
      <c r="EG265" s="64"/>
      <c r="EH265" s="64"/>
      <c r="EI265" s="64"/>
      <c r="EJ265" s="64"/>
      <c r="EK265" s="64"/>
      <c r="EL265" s="64"/>
      <c r="EM265" s="64"/>
      <c r="EN265" s="64"/>
      <c r="EO265" s="64"/>
      <c r="EP265" s="64"/>
      <c r="EQ265" s="64"/>
      <c r="ER265" s="64"/>
      <c r="ES265" s="64"/>
      <c r="ET265" s="64"/>
      <c r="EU265" s="64"/>
      <c r="EV265" s="64"/>
      <c r="EW265" s="64"/>
      <c r="EX265" s="64"/>
      <c r="EY265" s="64"/>
      <c r="EZ265" s="64"/>
      <c r="FA265" s="64"/>
      <c r="FB265" s="64"/>
      <c r="FC265" s="64"/>
      <c r="FD265" s="64"/>
      <c r="FE265" s="64"/>
      <c r="FF265" s="64"/>
      <c r="FG265" s="64"/>
      <c r="FH265" s="64"/>
      <c r="FI265" s="64"/>
      <c r="FJ265" s="64"/>
      <c r="FK265" s="64"/>
      <c r="FL265" s="64"/>
      <c r="FM265" s="64"/>
      <c r="FN265" s="64"/>
      <c r="FO265" s="64"/>
      <c r="FP265" s="64"/>
      <c r="FQ265" s="64"/>
      <c r="FR265" s="64"/>
      <c r="FS265" s="64"/>
      <c r="FT265" s="64"/>
      <c r="FU265" s="64"/>
      <c r="FV265" s="64"/>
      <c r="FW265" s="64"/>
      <c r="FX265" s="64"/>
      <c r="FY265" s="64"/>
      <c r="FZ265" s="64"/>
      <c r="GA265" s="64"/>
      <c r="GB265" s="64"/>
      <c r="GC265" s="64"/>
      <c r="GD265" s="64"/>
      <c r="GE265" s="64"/>
      <c r="GF265" s="64"/>
      <c r="GG265" s="64"/>
      <c r="GH265" s="64"/>
      <c r="GI265" s="64"/>
      <c r="GJ265" s="64"/>
      <c r="GK265" s="64"/>
      <c r="GL265" s="64"/>
      <c r="GM265" s="64"/>
      <c r="GN265" s="64"/>
      <c r="GO265" s="64"/>
      <c r="GP265" s="64"/>
      <c r="GQ265" s="64"/>
      <c r="GR265" s="64"/>
      <c r="GS265" s="64"/>
      <c r="GT265" s="64"/>
      <c r="GU265" s="64"/>
      <c r="GV265" s="64"/>
      <c r="GW265" s="64"/>
      <c r="GX265" s="64"/>
      <c r="GY265" s="64"/>
    </row>
    <row r="266" spans="1:207" s="33" customFormat="1" ht="39.950000000000003" hidden="1"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2"/>
      <c r="V266" s="13"/>
      <c r="W266" s="12"/>
      <c r="X266" s="12"/>
      <c r="Y266" s="12"/>
      <c r="Z266" s="12"/>
      <c r="AA266" s="12"/>
      <c r="AB266" s="39"/>
      <c r="AC266" s="39"/>
      <c r="AD266" s="39"/>
      <c r="AE266" s="39">
        <v>264</v>
      </c>
      <c r="AF266" s="44">
        <v>132</v>
      </c>
      <c r="AG266" s="63" t="s">
        <v>0</v>
      </c>
      <c r="AH266" s="64"/>
      <c r="AI266" s="64"/>
      <c r="AJ266" s="64"/>
      <c r="AK266" s="64"/>
      <c r="AL266" s="64"/>
      <c r="AM266" s="64"/>
      <c r="AN266" s="64"/>
      <c r="AO266" s="64"/>
      <c r="AP266" s="64"/>
      <c r="AQ266" s="64"/>
      <c r="AR266" s="64"/>
      <c r="AS266" s="64"/>
      <c r="AT266" s="64"/>
      <c r="AU266" s="64"/>
      <c r="AV266" s="64"/>
      <c r="AW266" s="64"/>
      <c r="AX266" s="64"/>
      <c r="AY266" s="64"/>
      <c r="AZ266" s="64"/>
      <c r="BA266" s="64"/>
      <c r="BB266" s="64"/>
      <c r="BC266" s="64"/>
      <c r="BD266" s="64"/>
      <c r="BE266" s="64"/>
      <c r="BF266" s="64"/>
      <c r="BG266" s="64"/>
      <c r="BH266" s="64"/>
      <c r="BI266" s="64"/>
      <c r="BJ266" s="64"/>
      <c r="BK266" s="64"/>
      <c r="BL266" s="64"/>
      <c r="BM266" s="64"/>
      <c r="BN266" s="64"/>
      <c r="BO266" s="64"/>
      <c r="BP266" s="64"/>
      <c r="BQ266" s="64"/>
      <c r="BR266" s="64"/>
      <c r="BS266" s="64"/>
      <c r="BT266" s="64"/>
      <c r="BU266" s="64"/>
      <c r="BV266" s="64"/>
      <c r="BW266" s="64"/>
      <c r="BX266" s="64"/>
      <c r="BY266" s="64"/>
      <c r="BZ266" s="64"/>
      <c r="CA266" s="64"/>
      <c r="CB266" s="64"/>
      <c r="CC266" s="64"/>
      <c r="CD266" s="64"/>
      <c r="CE266" s="64"/>
      <c r="CF266" s="64"/>
      <c r="CG266" s="64"/>
      <c r="CH266" s="64"/>
      <c r="CI266" s="64"/>
      <c r="CJ266" s="64"/>
      <c r="CK266" s="64"/>
      <c r="CL266" s="64"/>
      <c r="CM266" s="64"/>
      <c r="CN266" s="64"/>
      <c r="CO266" s="64"/>
      <c r="CP266" s="64"/>
      <c r="CQ266" s="64"/>
      <c r="CR266" s="64"/>
      <c r="CS266" s="64"/>
      <c r="CT266" s="64"/>
      <c r="CU266" s="64"/>
      <c r="CV266" s="64"/>
      <c r="CW266" s="64"/>
      <c r="CX266" s="64"/>
      <c r="CY266" s="64"/>
      <c r="CZ266" s="64"/>
      <c r="DA266" s="64"/>
      <c r="DB266" s="64"/>
      <c r="DC266" s="64"/>
      <c r="DD266" s="64"/>
      <c r="DE266" s="64"/>
      <c r="DF266" s="64"/>
      <c r="DG266" s="64"/>
      <c r="DH266" s="64"/>
      <c r="DI266" s="64"/>
      <c r="DJ266" s="64"/>
      <c r="DK266" s="64"/>
      <c r="DL266" s="64"/>
      <c r="DM266" s="64"/>
      <c r="DN266" s="64"/>
      <c r="DO266" s="64"/>
      <c r="DP266" s="64"/>
      <c r="DQ266" s="64"/>
      <c r="DR266" s="64"/>
      <c r="DS266" s="64"/>
      <c r="DT266" s="64"/>
      <c r="DU266" s="64"/>
      <c r="DV266" s="64"/>
      <c r="DW266" s="64"/>
      <c r="DX266" s="64"/>
      <c r="DY266" s="64"/>
      <c r="DZ266" s="64"/>
      <c r="EA266" s="64"/>
      <c r="EB266" s="64"/>
      <c r="EC266" s="64"/>
      <c r="ED266" s="64"/>
      <c r="EE266" s="64"/>
      <c r="EF266" s="64"/>
      <c r="EG266" s="64"/>
      <c r="EH266" s="64"/>
      <c r="EI266" s="64"/>
      <c r="EJ266" s="64"/>
      <c r="EK266" s="64"/>
      <c r="EL266" s="64"/>
      <c r="EM266" s="64"/>
      <c r="EN266" s="64"/>
      <c r="EO266" s="64"/>
      <c r="EP266" s="64"/>
      <c r="EQ266" s="64"/>
      <c r="ER266" s="64"/>
      <c r="ES266" s="64"/>
      <c r="ET266" s="64"/>
      <c r="EU266" s="64"/>
      <c r="EV266" s="64"/>
      <c r="EW266" s="64"/>
      <c r="EX266" s="64"/>
      <c r="EY266" s="64"/>
      <c r="EZ266" s="64"/>
      <c r="FA266" s="64"/>
      <c r="FB266" s="64"/>
      <c r="FC266" s="64"/>
      <c r="FD266" s="64"/>
      <c r="FE266" s="64"/>
      <c r="FF266" s="64"/>
      <c r="FG266" s="64"/>
      <c r="FH266" s="64"/>
      <c r="FI266" s="64"/>
      <c r="FJ266" s="64"/>
      <c r="FK266" s="64"/>
      <c r="FL266" s="64"/>
      <c r="FM266" s="64"/>
      <c r="FN266" s="64"/>
      <c r="FO266" s="64"/>
      <c r="FP266" s="64"/>
      <c r="FQ266" s="64"/>
      <c r="FR266" s="64"/>
      <c r="FS266" s="64"/>
      <c r="FT266" s="64"/>
      <c r="FU266" s="64"/>
      <c r="FV266" s="64"/>
      <c r="FW266" s="64"/>
      <c r="FX266" s="64"/>
      <c r="FY266" s="64"/>
      <c r="FZ266" s="64"/>
      <c r="GA266" s="64"/>
      <c r="GB266" s="64"/>
      <c r="GC266" s="64"/>
      <c r="GD266" s="64"/>
      <c r="GE266" s="64"/>
      <c r="GF266" s="64"/>
      <c r="GG266" s="64"/>
      <c r="GH266" s="64"/>
      <c r="GI266" s="64"/>
      <c r="GJ266" s="64"/>
      <c r="GK266" s="64"/>
      <c r="GL266" s="64"/>
      <c r="GM266" s="64"/>
      <c r="GN266" s="64"/>
      <c r="GO266" s="64"/>
      <c r="GP266" s="64"/>
      <c r="GQ266" s="64"/>
      <c r="GR266" s="64"/>
      <c r="GS266" s="64"/>
      <c r="GT266" s="64"/>
      <c r="GU266" s="64"/>
      <c r="GV266" s="64"/>
      <c r="GW266" s="64"/>
      <c r="GX266" s="64"/>
      <c r="GY266" s="64"/>
    </row>
    <row r="267" spans="1:207" s="33" customFormat="1" ht="39.950000000000003" hidden="1"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2"/>
      <c r="V267" s="13"/>
      <c r="W267" s="12"/>
      <c r="X267" s="12"/>
      <c r="Y267" s="12"/>
      <c r="Z267" s="12"/>
      <c r="AA267" s="12"/>
      <c r="AB267" s="39"/>
      <c r="AC267" s="39"/>
      <c r="AD267" s="39"/>
      <c r="AE267" s="39">
        <v>265</v>
      </c>
      <c r="AF267" s="44">
        <v>132.5</v>
      </c>
      <c r="AG267" s="63" t="s">
        <v>0</v>
      </c>
      <c r="AH267" s="64"/>
      <c r="AI267" s="64"/>
      <c r="AJ267" s="64"/>
      <c r="AK267" s="64"/>
      <c r="AL267" s="64"/>
      <c r="AM267" s="64"/>
      <c r="AN267" s="64"/>
      <c r="AO267" s="64"/>
      <c r="AP267" s="64"/>
      <c r="AQ267" s="64"/>
      <c r="AR267" s="64"/>
      <c r="AS267" s="64"/>
      <c r="AT267" s="64"/>
      <c r="AU267" s="64"/>
      <c r="AV267" s="64"/>
      <c r="AW267" s="64"/>
      <c r="AX267" s="64"/>
      <c r="AY267" s="64"/>
      <c r="AZ267" s="64"/>
      <c r="BA267" s="64"/>
      <c r="BB267" s="64"/>
      <c r="BC267" s="64"/>
      <c r="BD267" s="64"/>
      <c r="BE267" s="64"/>
      <c r="BF267" s="64"/>
      <c r="BG267" s="64"/>
      <c r="BH267" s="64"/>
      <c r="BI267" s="64"/>
      <c r="BJ267" s="64"/>
      <c r="BK267" s="64"/>
      <c r="BL267" s="64"/>
      <c r="BM267" s="64"/>
      <c r="BN267" s="64"/>
      <c r="BO267" s="64"/>
      <c r="BP267" s="64"/>
      <c r="BQ267" s="64"/>
      <c r="BR267" s="64"/>
      <c r="BS267" s="64"/>
      <c r="BT267" s="64"/>
      <c r="BU267" s="64"/>
      <c r="BV267" s="64"/>
      <c r="BW267" s="64"/>
      <c r="BX267" s="64"/>
      <c r="BY267" s="64"/>
      <c r="BZ267" s="64"/>
      <c r="CA267" s="64"/>
      <c r="CB267" s="64"/>
      <c r="CC267" s="64"/>
      <c r="CD267" s="64"/>
      <c r="CE267" s="64"/>
      <c r="CF267" s="64"/>
      <c r="CG267" s="64"/>
      <c r="CH267" s="64"/>
      <c r="CI267" s="64"/>
      <c r="CJ267" s="64"/>
      <c r="CK267" s="64"/>
      <c r="CL267" s="64"/>
      <c r="CM267" s="64"/>
      <c r="CN267" s="64"/>
      <c r="CO267" s="64"/>
      <c r="CP267" s="64"/>
      <c r="CQ267" s="64"/>
      <c r="CR267" s="64"/>
      <c r="CS267" s="64"/>
      <c r="CT267" s="64"/>
      <c r="CU267" s="64"/>
      <c r="CV267" s="64"/>
      <c r="CW267" s="64"/>
      <c r="CX267" s="64"/>
      <c r="CY267" s="64"/>
      <c r="CZ267" s="64"/>
      <c r="DA267" s="64"/>
      <c r="DB267" s="64"/>
      <c r="DC267" s="64"/>
      <c r="DD267" s="64"/>
      <c r="DE267" s="64"/>
      <c r="DF267" s="64"/>
      <c r="DG267" s="64"/>
      <c r="DH267" s="64"/>
      <c r="DI267" s="64"/>
      <c r="DJ267" s="64"/>
      <c r="DK267" s="64"/>
      <c r="DL267" s="64"/>
      <c r="DM267" s="64"/>
      <c r="DN267" s="64"/>
      <c r="DO267" s="64"/>
      <c r="DP267" s="64"/>
      <c r="DQ267" s="64"/>
      <c r="DR267" s="64"/>
      <c r="DS267" s="64"/>
      <c r="DT267" s="64"/>
      <c r="DU267" s="64"/>
      <c r="DV267" s="64"/>
      <c r="DW267" s="64"/>
      <c r="DX267" s="64"/>
      <c r="DY267" s="64"/>
      <c r="DZ267" s="64"/>
      <c r="EA267" s="64"/>
      <c r="EB267" s="64"/>
      <c r="EC267" s="64"/>
      <c r="ED267" s="64"/>
      <c r="EE267" s="64"/>
      <c r="EF267" s="64"/>
      <c r="EG267" s="64"/>
      <c r="EH267" s="64"/>
      <c r="EI267" s="64"/>
      <c r="EJ267" s="64"/>
      <c r="EK267" s="64"/>
      <c r="EL267" s="64"/>
      <c r="EM267" s="64"/>
      <c r="EN267" s="64"/>
      <c r="EO267" s="64"/>
      <c r="EP267" s="64"/>
      <c r="EQ267" s="64"/>
      <c r="ER267" s="64"/>
      <c r="ES267" s="64"/>
      <c r="ET267" s="64"/>
      <c r="EU267" s="64"/>
      <c r="EV267" s="64"/>
      <c r="EW267" s="64"/>
      <c r="EX267" s="64"/>
      <c r="EY267" s="64"/>
      <c r="EZ267" s="64"/>
      <c r="FA267" s="64"/>
      <c r="FB267" s="64"/>
      <c r="FC267" s="64"/>
      <c r="FD267" s="64"/>
      <c r="FE267" s="64"/>
      <c r="FF267" s="64"/>
      <c r="FG267" s="64"/>
      <c r="FH267" s="64"/>
      <c r="FI267" s="64"/>
      <c r="FJ267" s="64"/>
      <c r="FK267" s="64"/>
      <c r="FL267" s="64"/>
      <c r="FM267" s="64"/>
      <c r="FN267" s="64"/>
      <c r="FO267" s="64"/>
      <c r="FP267" s="64"/>
      <c r="FQ267" s="64"/>
      <c r="FR267" s="64"/>
      <c r="FS267" s="64"/>
      <c r="FT267" s="64"/>
      <c r="FU267" s="64"/>
      <c r="FV267" s="64"/>
      <c r="FW267" s="64"/>
      <c r="FX267" s="64"/>
      <c r="FY267" s="64"/>
      <c r="FZ267" s="64"/>
      <c r="GA267" s="64"/>
      <c r="GB267" s="64"/>
      <c r="GC267" s="64"/>
      <c r="GD267" s="64"/>
      <c r="GE267" s="64"/>
      <c r="GF267" s="64"/>
      <c r="GG267" s="64"/>
      <c r="GH267" s="64"/>
      <c r="GI267" s="64"/>
      <c r="GJ267" s="64"/>
      <c r="GK267" s="64"/>
      <c r="GL267" s="64"/>
      <c r="GM267" s="64"/>
      <c r="GN267" s="64"/>
      <c r="GO267" s="64"/>
      <c r="GP267" s="64"/>
      <c r="GQ267" s="64"/>
      <c r="GR267" s="64"/>
      <c r="GS267" s="64"/>
      <c r="GT267" s="64"/>
      <c r="GU267" s="64"/>
      <c r="GV267" s="64"/>
      <c r="GW267" s="64"/>
      <c r="GX267" s="64"/>
      <c r="GY267" s="64"/>
    </row>
    <row r="268" spans="1:207" s="33" customFormat="1" ht="39.950000000000003" hidden="1"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2"/>
      <c r="V268" s="13"/>
      <c r="W268" s="12"/>
      <c r="X268" s="12"/>
      <c r="Y268" s="12"/>
      <c r="Z268" s="12"/>
      <c r="AA268" s="12"/>
      <c r="AB268" s="39"/>
      <c r="AC268" s="39"/>
      <c r="AD268" s="39"/>
      <c r="AE268" s="39">
        <v>266</v>
      </c>
      <c r="AF268" s="44">
        <v>133</v>
      </c>
      <c r="AG268" s="63" t="s">
        <v>0</v>
      </c>
      <c r="AH268" s="64"/>
      <c r="AI268" s="64"/>
      <c r="AJ268" s="64"/>
      <c r="AK268" s="64"/>
      <c r="AL268" s="64"/>
      <c r="AM268" s="64"/>
      <c r="AN268" s="64"/>
      <c r="AO268" s="64"/>
      <c r="AP268" s="64"/>
      <c r="AQ268" s="64"/>
      <c r="AR268" s="64"/>
      <c r="AS268" s="64"/>
      <c r="AT268" s="64"/>
      <c r="AU268" s="64"/>
      <c r="AV268" s="64"/>
      <c r="AW268" s="64"/>
      <c r="AX268" s="64"/>
      <c r="AY268" s="64"/>
      <c r="AZ268" s="64"/>
      <c r="BA268" s="64"/>
      <c r="BB268" s="64"/>
      <c r="BC268" s="64"/>
      <c r="BD268" s="64"/>
      <c r="BE268" s="64"/>
      <c r="BF268" s="64"/>
      <c r="BG268" s="64"/>
      <c r="BH268" s="64"/>
      <c r="BI268" s="64"/>
      <c r="BJ268" s="64"/>
      <c r="BK268" s="64"/>
      <c r="BL268" s="64"/>
      <c r="BM268" s="64"/>
      <c r="BN268" s="64"/>
      <c r="BO268" s="64"/>
      <c r="BP268" s="64"/>
      <c r="BQ268" s="64"/>
      <c r="BR268" s="64"/>
      <c r="BS268" s="64"/>
      <c r="BT268" s="64"/>
      <c r="BU268" s="64"/>
      <c r="BV268" s="64"/>
      <c r="BW268" s="64"/>
      <c r="BX268" s="64"/>
      <c r="BY268" s="64"/>
      <c r="BZ268" s="64"/>
      <c r="CA268" s="64"/>
      <c r="CB268" s="64"/>
      <c r="CC268" s="64"/>
      <c r="CD268" s="64"/>
      <c r="CE268" s="64"/>
      <c r="CF268" s="64"/>
      <c r="CG268" s="64"/>
      <c r="CH268" s="64"/>
      <c r="CI268" s="64"/>
      <c r="CJ268" s="64"/>
      <c r="CK268" s="64"/>
      <c r="CL268" s="64"/>
      <c r="CM268" s="64"/>
      <c r="CN268" s="64"/>
      <c r="CO268" s="64"/>
      <c r="CP268" s="64"/>
      <c r="CQ268" s="64"/>
      <c r="CR268" s="64"/>
      <c r="CS268" s="64"/>
      <c r="CT268" s="64"/>
      <c r="CU268" s="64"/>
      <c r="CV268" s="64"/>
      <c r="CW268" s="64"/>
      <c r="CX268" s="64"/>
      <c r="CY268" s="64"/>
      <c r="CZ268" s="64"/>
      <c r="DA268" s="64"/>
      <c r="DB268" s="64"/>
      <c r="DC268" s="64"/>
      <c r="DD268" s="64"/>
      <c r="DE268" s="64"/>
      <c r="DF268" s="64"/>
      <c r="DG268" s="64"/>
      <c r="DH268" s="64"/>
      <c r="DI268" s="64"/>
      <c r="DJ268" s="64"/>
      <c r="DK268" s="64"/>
      <c r="DL268" s="64"/>
      <c r="DM268" s="64"/>
      <c r="DN268" s="64"/>
      <c r="DO268" s="64"/>
      <c r="DP268" s="64"/>
      <c r="DQ268" s="64"/>
      <c r="DR268" s="64"/>
      <c r="DS268" s="64"/>
      <c r="DT268" s="64"/>
      <c r="DU268" s="64"/>
      <c r="DV268" s="64"/>
      <c r="DW268" s="64"/>
      <c r="DX268" s="64"/>
      <c r="DY268" s="64"/>
      <c r="DZ268" s="64"/>
      <c r="EA268" s="64"/>
      <c r="EB268" s="64"/>
      <c r="EC268" s="64"/>
      <c r="ED268" s="64"/>
      <c r="EE268" s="64"/>
      <c r="EF268" s="64"/>
      <c r="EG268" s="64"/>
      <c r="EH268" s="64"/>
      <c r="EI268" s="64"/>
      <c r="EJ268" s="64"/>
      <c r="EK268" s="64"/>
      <c r="EL268" s="64"/>
      <c r="EM268" s="64"/>
      <c r="EN268" s="64"/>
      <c r="EO268" s="64"/>
      <c r="EP268" s="64"/>
      <c r="EQ268" s="64"/>
      <c r="ER268" s="64"/>
      <c r="ES268" s="64"/>
      <c r="ET268" s="64"/>
      <c r="EU268" s="64"/>
      <c r="EV268" s="64"/>
      <c r="EW268" s="64"/>
      <c r="EX268" s="64"/>
      <c r="EY268" s="64"/>
      <c r="EZ268" s="64"/>
      <c r="FA268" s="64"/>
      <c r="FB268" s="64"/>
      <c r="FC268" s="64"/>
      <c r="FD268" s="64"/>
      <c r="FE268" s="64"/>
      <c r="FF268" s="64"/>
      <c r="FG268" s="64"/>
      <c r="FH268" s="64"/>
      <c r="FI268" s="64"/>
      <c r="FJ268" s="64"/>
      <c r="FK268" s="64"/>
      <c r="FL268" s="64"/>
      <c r="FM268" s="64"/>
      <c r="FN268" s="64"/>
      <c r="FO268" s="64"/>
      <c r="FP268" s="64"/>
      <c r="FQ268" s="64"/>
      <c r="FR268" s="64"/>
      <c r="FS268" s="64"/>
      <c r="FT268" s="64"/>
      <c r="FU268" s="64"/>
      <c r="FV268" s="64"/>
      <c r="FW268" s="64"/>
      <c r="FX268" s="64"/>
      <c r="FY268" s="64"/>
      <c r="FZ268" s="64"/>
      <c r="GA268" s="64"/>
      <c r="GB268" s="64"/>
      <c r="GC268" s="64"/>
      <c r="GD268" s="64"/>
      <c r="GE268" s="64"/>
      <c r="GF268" s="64"/>
      <c r="GG268" s="64"/>
      <c r="GH268" s="64"/>
      <c r="GI268" s="64"/>
      <c r="GJ268" s="64"/>
      <c r="GK268" s="64"/>
      <c r="GL268" s="64"/>
      <c r="GM268" s="64"/>
      <c r="GN268" s="64"/>
      <c r="GO268" s="64"/>
      <c r="GP268" s="64"/>
      <c r="GQ268" s="64"/>
      <c r="GR268" s="64"/>
      <c r="GS268" s="64"/>
      <c r="GT268" s="64"/>
      <c r="GU268" s="64"/>
      <c r="GV268" s="64"/>
      <c r="GW268" s="64"/>
      <c r="GX268" s="64"/>
      <c r="GY268" s="64"/>
    </row>
    <row r="269" spans="1:207" s="33" customFormat="1" ht="39.950000000000003" hidden="1"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2"/>
      <c r="V269" s="13"/>
      <c r="W269" s="12"/>
      <c r="X269" s="12"/>
      <c r="Y269" s="12"/>
      <c r="Z269" s="12"/>
      <c r="AA269" s="12"/>
      <c r="AB269" s="39"/>
      <c r="AC269" s="39"/>
      <c r="AD269" s="39"/>
      <c r="AE269" s="39">
        <v>267</v>
      </c>
      <c r="AF269" s="44">
        <v>133.5</v>
      </c>
      <c r="AG269" s="63" t="s">
        <v>0</v>
      </c>
      <c r="AH269" s="64"/>
      <c r="AI269" s="64"/>
      <c r="AJ269" s="64"/>
      <c r="AK269" s="64"/>
      <c r="AL269" s="64"/>
      <c r="AM269" s="64"/>
      <c r="AN269" s="64"/>
      <c r="AO269" s="64"/>
      <c r="AP269" s="64"/>
      <c r="AQ269" s="64"/>
      <c r="AR269" s="64"/>
      <c r="AS269" s="64"/>
      <c r="AT269" s="64"/>
      <c r="AU269" s="64"/>
      <c r="AV269" s="64"/>
      <c r="AW269" s="64"/>
      <c r="AX269" s="64"/>
      <c r="AY269" s="64"/>
      <c r="AZ269" s="64"/>
      <c r="BA269" s="64"/>
      <c r="BB269" s="64"/>
      <c r="BC269" s="64"/>
      <c r="BD269" s="64"/>
      <c r="BE269" s="64"/>
      <c r="BF269" s="64"/>
      <c r="BG269" s="64"/>
      <c r="BH269" s="64"/>
      <c r="BI269" s="64"/>
      <c r="BJ269" s="64"/>
      <c r="BK269" s="64"/>
      <c r="BL269" s="64"/>
      <c r="BM269" s="64"/>
      <c r="BN269" s="64"/>
      <c r="BO269" s="64"/>
      <c r="BP269" s="64"/>
      <c r="BQ269" s="64"/>
      <c r="BR269" s="64"/>
      <c r="BS269" s="64"/>
      <c r="BT269" s="64"/>
      <c r="BU269" s="64"/>
      <c r="BV269" s="64"/>
      <c r="BW269" s="64"/>
      <c r="BX269" s="64"/>
      <c r="BY269" s="64"/>
      <c r="BZ269" s="64"/>
      <c r="CA269" s="64"/>
      <c r="CB269" s="64"/>
      <c r="CC269" s="64"/>
      <c r="CD269" s="64"/>
      <c r="CE269" s="64"/>
      <c r="CF269" s="64"/>
      <c r="CG269" s="64"/>
      <c r="CH269" s="64"/>
      <c r="CI269" s="64"/>
      <c r="CJ269" s="64"/>
      <c r="CK269" s="64"/>
      <c r="CL269" s="64"/>
      <c r="CM269" s="64"/>
      <c r="CN269" s="64"/>
      <c r="CO269" s="64"/>
      <c r="CP269" s="64"/>
      <c r="CQ269" s="64"/>
      <c r="CR269" s="64"/>
      <c r="CS269" s="64"/>
      <c r="CT269" s="64"/>
      <c r="CU269" s="64"/>
      <c r="CV269" s="64"/>
      <c r="CW269" s="64"/>
      <c r="CX269" s="64"/>
      <c r="CY269" s="64"/>
      <c r="CZ269" s="64"/>
      <c r="DA269" s="64"/>
      <c r="DB269" s="64"/>
      <c r="DC269" s="64"/>
      <c r="DD269" s="64"/>
      <c r="DE269" s="64"/>
      <c r="DF269" s="64"/>
      <c r="DG269" s="64"/>
      <c r="DH269" s="64"/>
      <c r="DI269" s="64"/>
      <c r="DJ269" s="64"/>
      <c r="DK269" s="64"/>
      <c r="DL269" s="64"/>
      <c r="DM269" s="64"/>
      <c r="DN269" s="64"/>
      <c r="DO269" s="64"/>
      <c r="DP269" s="64"/>
      <c r="DQ269" s="64"/>
      <c r="DR269" s="64"/>
      <c r="DS269" s="64"/>
      <c r="DT269" s="64"/>
      <c r="DU269" s="64"/>
      <c r="DV269" s="64"/>
      <c r="DW269" s="64"/>
      <c r="DX269" s="64"/>
      <c r="DY269" s="64"/>
      <c r="DZ269" s="64"/>
      <c r="EA269" s="64"/>
      <c r="EB269" s="64"/>
      <c r="EC269" s="64"/>
      <c r="ED269" s="64"/>
      <c r="EE269" s="64"/>
      <c r="EF269" s="64"/>
      <c r="EG269" s="64"/>
      <c r="EH269" s="64"/>
      <c r="EI269" s="64"/>
      <c r="EJ269" s="64"/>
      <c r="EK269" s="64"/>
      <c r="EL269" s="64"/>
      <c r="EM269" s="64"/>
      <c r="EN269" s="64"/>
      <c r="EO269" s="64"/>
      <c r="EP269" s="64"/>
      <c r="EQ269" s="64"/>
      <c r="ER269" s="64"/>
      <c r="ES269" s="64"/>
      <c r="ET269" s="64"/>
      <c r="EU269" s="64"/>
      <c r="EV269" s="64"/>
      <c r="EW269" s="64"/>
      <c r="EX269" s="64"/>
      <c r="EY269" s="64"/>
      <c r="EZ269" s="64"/>
      <c r="FA269" s="64"/>
      <c r="FB269" s="64"/>
      <c r="FC269" s="64"/>
      <c r="FD269" s="64"/>
      <c r="FE269" s="64"/>
      <c r="FF269" s="64"/>
      <c r="FG269" s="64"/>
      <c r="FH269" s="64"/>
      <c r="FI269" s="64"/>
      <c r="FJ269" s="64"/>
      <c r="FK269" s="64"/>
      <c r="FL269" s="64"/>
      <c r="FM269" s="64"/>
      <c r="FN269" s="64"/>
      <c r="FO269" s="64"/>
      <c r="FP269" s="64"/>
      <c r="FQ269" s="64"/>
      <c r="FR269" s="64"/>
      <c r="FS269" s="64"/>
      <c r="FT269" s="64"/>
      <c r="FU269" s="64"/>
      <c r="FV269" s="64"/>
      <c r="FW269" s="64"/>
      <c r="FX269" s="64"/>
      <c r="FY269" s="64"/>
      <c r="FZ269" s="64"/>
      <c r="GA269" s="64"/>
      <c r="GB269" s="64"/>
      <c r="GC269" s="64"/>
      <c r="GD269" s="64"/>
      <c r="GE269" s="64"/>
      <c r="GF269" s="64"/>
      <c r="GG269" s="64"/>
      <c r="GH269" s="64"/>
      <c r="GI269" s="64"/>
      <c r="GJ269" s="64"/>
      <c r="GK269" s="64"/>
      <c r="GL269" s="64"/>
      <c r="GM269" s="64"/>
      <c r="GN269" s="64"/>
      <c r="GO269" s="64"/>
      <c r="GP269" s="64"/>
      <c r="GQ269" s="64"/>
      <c r="GR269" s="64"/>
      <c r="GS269" s="64"/>
      <c r="GT269" s="64"/>
      <c r="GU269" s="64"/>
      <c r="GV269" s="64"/>
      <c r="GW269" s="64"/>
      <c r="GX269" s="64"/>
      <c r="GY269" s="64"/>
    </row>
    <row r="270" spans="1:207" ht="39.950000000000003" hidden="1" customHeight="1" x14ac:dyDescent="0.25">
      <c r="AE270" s="39">
        <v>268</v>
      </c>
      <c r="AF270" s="44">
        <v>134</v>
      </c>
      <c r="AG270" s="63" t="s">
        <v>0</v>
      </c>
    </row>
    <row r="271" spans="1:207" ht="39.950000000000003" hidden="1" customHeight="1" x14ac:dyDescent="0.25">
      <c r="AE271" s="39">
        <v>269</v>
      </c>
      <c r="AF271" s="44">
        <v>134.5</v>
      </c>
      <c r="AG271" s="63" t="s">
        <v>0</v>
      </c>
    </row>
    <row r="272" spans="1:207" ht="39.950000000000003" hidden="1" customHeight="1" x14ac:dyDescent="0.25">
      <c r="AE272" s="39">
        <v>270</v>
      </c>
      <c r="AF272" s="44">
        <v>135</v>
      </c>
      <c r="AG272" s="63" t="s">
        <v>0</v>
      </c>
    </row>
    <row r="273" spans="31:33" ht="39.950000000000003" hidden="1" customHeight="1" x14ac:dyDescent="0.25">
      <c r="AE273" s="39">
        <v>271</v>
      </c>
      <c r="AF273" s="44">
        <v>135.5</v>
      </c>
      <c r="AG273" s="63" t="s">
        <v>0</v>
      </c>
    </row>
    <row r="274" spans="31:33" ht="39.950000000000003" hidden="1" customHeight="1" x14ac:dyDescent="0.25">
      <c r="AE274" s="39">
        <v>272</v>
      </c>
      <c r="AF274" s="44">
        <v>136</v>
      </c>
      <c r="AG274" s="63" t="s">
        <v>0</v>
      </c>
    </row>
    <row r="275" spans="31:33" ht="39.950000000000003" hidden="1" customHeight="1" x14ac:dyDescent="0.25">
      <c r="AE275" s="39">
        <v>273</v>
      </c>
      <c r="AF275" s="44">
        <v>136.5</v>
      </c>
      <c r="AG275" s="63" t="s">
        <v>0</v>
      </c>
    </row>
    <row r="276" spans="31:33" ht="39.950000000000003" hidden="1" customHeight="1" x14ac:dyDescent="0.25">
      <c r="AE276" s="39">
        <v>274</v>
      </c>
      <c r="AF276" s="44">
        <v>137</v>
      </c>
      <c r="AG276" s="63" t="s">
        <v>0</v>
      </c>
    </row>
    <row r="277" spans="31:33" ht="39.950000000000003" hidden="1" customHeight="1" x14ac:dyDescent="0.25">
      <c r="AE277" s="39">
        <v>275</v>
      </c>
      <c r="AF277" s="44">
        <v>137.5</v>
      </c>
      <c r="AG277" s="63" t="s">
        <v>0</v>
      </c>
    </row>
    <row r="278" spans="31:33" ht="39.950000000000003" hidden="1" customHeight="1" x14ac:dyDescent="0.25">
      <c r="AE278" s="39">
        <v>276</v>
      </c>
      <c r="AF278" s="44">
        <v>138</v>
      </c>
      <c r="AG278" s="63" t="s">
        <v>0</v>
      </c>
    </row>
    <row r="279" spans="31:33" ht="39.950000000000003" hidden="1" customHeight="1" x14ac:dyDescent="0.25">
      <c r="AE279" s="39">
        <v>277</v>
      </c>
      <c r="AF279" s="44">
        <v>138.5</v>
      </c>
      <c r="AG279" s="63" t="s">
        <v>0</v>
      </c>
    </row>
    <row r="280" spans="31:33" ht="39.950000000000003" hidden="1" customHeight="1" x14ac:dyDescent="0.25">
      <c r="AE280" s="39">
        <v>278</v>
      </c>
      <c r="AF280" s="44">
        <v>139</v>
      </c>
      <c r="AG280" s="63" t="s">
        <v>0</v>
      </c>
    </row>
    <row r="281" spans="31:33" ht="39.950000000000003" hidden="1" customHeight="1" x14ac:dyDescent="0.25">
      <c r="AE281" s="39">
        <v>279</v>
      </c>
      <c r="AF281" s="44">
        <v>139.5</v>
      </c>
      <c r="AG281" s="63" t="s">
        <v>0</v>
      </c>
    </row>
    <row r="282" spans="31:33" ht="39.950000000000003" hidden="1" customHeight="1" x14ac:dyDescent="0.25">
      <c r="AE282" s="39">
        <v>280</v>
      </c>
      <c r="AF282" s="44">
        <v>140</v>
      </c>
      <c r="AG282" s="63" t="s">
        <v>0</v>
      </c>
    </row>
    <row r="283" spans="31:33" ht="39.950000000000003" hidden="1" customHeight="1" x14ac:dyDescent="0.25">
      <c r="AE283" s="39">
        <v>281</v>
      </c>
      <c r="AF283" s="44">
        <v>140.5</v>
      </c>
      <c r="AG283" s="63" t="s">
        <v>0</v>
      </c>
    </row>
    <row r="284" spans="31:33" ht="39.950000000000003" hidden="1" customHeight="1" x14ac:dyDescent="0.25">
      <c r="AE284" s="39">
        <v>282</v>
      </c>
      <c r="AF284" s="44">
        <v>141</v>
      </c>
      <c r="AG284" s="63" t="s">
        <v>0</v>
      </c>
    </row>
    <row r="285" spans="31:33" ht="39.950000000000003" hidden="1" customHeight="1" x14ac:dyDescent="0.25">
      <c r="AE285" s="39">
        <v>283</v>
      </c>
      <c r="AF285" s="44">
        <v>141.5</v>
      </c>
      <c r="AG285" s="63" t="s">
        <v>0</v>
      </c>
    </row>
    <row r="286" spans="31:33" ht="39.950000000000003" hidden="1" customHeight="1" x14ac:dyDescent="0.25">
      <c r="AE286" s="39">
        <v>284</v>
      </c>
      <c r="AF286" s="44">
        <v>142</v>
      </c>
      <c r="AG286" s="63" t="s">
        <v>0</v>
      </c>
    </row>
    <row r="287" spans="31:33" ht="39.950000000000003" hidden="1" customHeight="1" x14ac:dyDescent="0.25">
      <c r="AE287" s="39">
        <v>285</v>
      </c>
      <c r="AF287" s="44">
        <v>142.5</v>
      </c>
      <c r="AG287" s="63" t="s">
        <v>0</v>
      </c>
    </row>
    <row r="288" spans="31:33" ht="39.950000000000003" hidden="1" customHeight="1" x14ac:dyDescent="0.25">
      <c r="AE288" s="39">
        <v>286</v>
      </c>
      <c r="AF288" s="44">
        <v>143</v>
      </c>
      <c r="AG288" s="63" t="s">
        <v>0</v>
      </c>
    </row>
    <row r="289" spans="31:33" ht="39.950000000000003" hidden="1" customHeight="1" x14ac:dyDescent="0.25">
      <c r="AE289" s="39">
        <v>287</v>
      </c>
      <c r="AF289" s="44">
        <v>143.5</v>
      </c>
      <c r="AG289" s="63" t="s">
        <v>0</v>
      </c>
    </row>
    <row r="290" spans="31:33" ht="39.950000000000003" hidden="1" customHeight="1" x14ac:dyDescent="0.25">
      <c r="AE290" s="39">
        <v>288</v>
      </c>
      <c r="AF290" s="44">
        <v>144</v>
      </c>
      <c r="AG290" s="63" t="s">
        <v>0</v>
      </c>
    </row>
    <row r="291" spans="31:33" ht="39.950000000000003" hidden="1" customHeight="1" x14ac:dyDescent="0.25">
      <c r="AE291" s="39">
        <v>289</v>
      </c>
      <c r="AF291" s="44">
        <v>144.5</v>
      </c>
      <c r="AG291" s="63" t="s">
        <v>0</v>
      </c>
    </row>
    <row r="292" spans="31:33" ht="39.950000000000003" hidden="1" customHeight="1" x14ac:dyDescent="0.25">
      <c r="AE292" s="39">
        <v>290</v>
      </c>
      <c r="AF292" s="44">
        <v>145</v>
      </c>
      <c r="AG292" s="63" t="s">
        <v>0</v>
      </c>
    </row>
    <row r="293" spans="31:33" ht="39.950000000000003" hidden="1" customHeight="1" x14ac:dyDescent="0.25">
      <c r="AE293" s="39">
        <v>291</v>
      </c>
      <c r="AF293" s="44">
        <v>145.5</v>
      </c>
      <c r="AG293" s="63" t="s">
        <v>0</v>
      </c>
    </row>
    <row r="294" spans="31:33" ht="39.950000000000003" hidden="1" customHeight="1" x14ac:dyDescent="0.25">
      <c r="AE294" s="39">
        <v>292</v>
      </c>
      <c r="AF294" s="44">
        <v>146</v>
      </c>
      <c r="AG294" s="63" t="s">
        <v>0</v>
      </c>
    </row>
    <row r="295" spans="31:33" ht="39.950000000000003" hidden="1" customHeight="1" x14ac:dyDescent="0.25">
      <c r="AE295" s="39">
        <v>293</v>
      </c>
      <c r="AF295" s="44">
        <v>146.5</v>
      </c>
      <c r="AG295" s="63" t="s">
        <v>0</v>
      </c>
    </row>
    <row r="296" spans="31:33" ht="39.950000000000003" hidden="1" customHeight="1" x14ac:dyDescent="0.25">
      <c r="AE296" s="39">
        <v>294</v>
      </c>
      <c r="AF296" s="44">
        <v>147</v>
      </c>
      <c r="AG296" s="63" t="s">
        <v>0</v>
      </c>
    </row>
    <row r="297" spans="31:33" ht="39.950000000000003" hidden="1" customHeight="1" x14ac:dyDescent="0.25">
      <c r="AE297" s="39">
        <v>295</v>
      </c>
      <c r="AF297" s="44">
        <v>147.5</v>
      </c>
      <c r="AG297" s="63" t="s">
        <v>0</v>
      </c>
    </row>
    <row r="298" spans="31:33" ht="39.950000000000003" hidden="1" customHeight="1" x14ac:dyDescent="0.25">
      <c r="AE298" s="39">
        <v>296</v>
      </c>
      <c r="AF298" s="44">
        <v>148</v>
      </c>
      <c r="AG298" s="63" t="s">
        <v>0</v>
      </c>
    </row>
    <row r="299" spans="31:33" ht="39.950000000000003" hidden="1" customHeight="1" x14ac:dyDescent="0.25">
      <c r="AE299" s="39">
        <v>297</v>
      </c>
      <c r="AF299" s="44">
        <v>148.5</v>
      </c>
      <c r="AG299" s="63" t="s">
        <v>0</v>
      </c>
    </row>
    <row r="300" spans="31:33" ht="39.950000000000003" hidden="1" customHeight="1" x14ac:dyDescent="0.25">
      <c r="AE300" s="39">
        <v>298</v>
      </c>
      <c r="AF300" s="44">
        <v>149</v>
      </c>
      <c r="AG300" s="63" t="s">
        <v>0</v>
      </c>
    </row>
    <row r="301" spans="31:33" ht="39.950000000000003" hidden="1" customHeight="1" x14ac:dyDescent="0.25">
      <c r="AE301" s="39">
        <v>299</v>
      </c>
      <c r="AF301" s="44">
        <v>149.5</v>
      </c>
      <c r="AG301" s="63" t="s">
        <v>0</v>
      </c>
    </row>
    <row r="302" spans="31:33" ht="39.950000000000003" hidden="1" customHeight="1" x14ac:dyDescent="0.25">
      <c r="AE302" s="39">
        <v>300</v>
      </c>
      <c r="AF302" s="44">
        <v>150</v>
      </c>
      <c r="AG302" s="63" t="s">
        <v>0</v>
      </c>
    </row>
    <row r="303" spans="31:33" ht="39.950000000000003" hidden="1" customHeight="1" x14ac:dyDescent="0.25">
      <c r="AE303" s="39">
        <v>301</v>
      </c>
      <c r="AF303" s="44">
        <v>150.5</v>
      </c>
      <c r="AG303" s="63" t="s">
        <v>0</v>
      </c>
    </row>
    <row r="304" spans="31:33" ht="39.950000000000003" hidden="1" customHeight="1" x14ac:dyDescent="0.25">
      <c r="AE304" s="39">
        <v>302</v>
      </c>
      <c r="AF304" s="44">
        <v>151</v>
      </c>
      <c r="AG304" s="63" t="s">
        <v>0</v>
      </c>
    </row>
    <row r="305" spans="31:33" ht="39.950000000000003" hidden="1" customHeight="1" x14ac:dyDescent="0.25">
      <c r="AE305" s="39">
        <v>303</v>
      </c>
      <c r="AF305" s="44">
        <v>151.5</v>
      </c>
      <c r="AG305" s="63" t="s">
        <v>0</v>
      </c>
    </row>
    <row r="306" spans="31:33" ht="39.950000000000003" hidden="1" customHeight="1" x14ac:dyDescent="0.25">
      <c r="AE306" s="39">
        <v>304</v>
      </c>
      <c r="AF306" s="44">
        <v>152</v>
      </c>
      <c r="AG306" s="63" t="s">
        <v>0</v>
      </c>
    </row>
    <row r="307" spans="31:33" ht="39.950000000000003" hidden="1" customHeight="1" x14ac:dyDescent="0.25">
      <c r="AE307" s="39">
        <v>305</v>
      </c>
      <c r="AF307" s="44">
        <v>152.5</v>
      </c>
      <c r="AG307" s="63" t="s">
        <v>0</v>
      </c>
    </row>
    <row r="308" spans="31:33" ht="39.950000000000003" hidden="1" customHeight="1" x14ac:dyDescent="0.25">
      <c r="AE308" s="39">
        <v>306</v>
      </c>
      <c r="AF308" s="44">
        <v>153</v>
      </c>
      <c r="AG308" s="63" t="s">
        <v>0</v>
      </c>
    </row>
    <row r="309" spans="31:33" ht="39.950000000000003" hidden="1" customHeight="1" x14ac:dyDescent="0.25">
      <c r="AE309" s="39">
        <v>307</v>
      </c>
      <c r="AF309" s="44">
        <v>153.5</v>
      </c>
      <c r="AG309" s="63" t="s">
        <v>0</v>
      </c>
    </row>
    <row r="310" spans="31:33" ht="39.950000000000003" hidden="1" customHeight="1" x14ac:dyDescent="0.25">
      <c r="AE310" s="39">
        <v>308</v>
      </c>
      <c r="AF310" s="44">
        <v>154</v>
      </c>
      <c r="AG310" s="63" t="s">
        <v>0</v>
      </c>
    </row>
    <row r="311" spans="31:33" ht="39.950000000000003" hidden="1" customHeight="1" x14ac:dyDescent="0.25">
      <c r="AE311" s="39">
        <v>309</v>
      </c>
      <c r="AF311" s="44">
        <v>154.5</v>
      </c>
      <c r="AG311" s="63" t="s">
        <v>0</v>
      </c>
    </row>
    <row r="312" spans="31:33" ht="39.950000000000003" hidden="1" customHeight="1" x14ac:dyDescent="0.25">
      <c r="AE312" s="39">
        <v>310</v>
      </c>
      <c r="AF312" s="44">
        <v>155</v>
      </c>
      <c r="AG312" s="63" t="s">
        <v>0</v>
      </c>
    </row>
    <row r="313" spans="31:33" ht="39.950000000000003" hidden="1" customHeight="1" x14ac:dyDescent="0.25">
      <c r="AE313" s="39">
        <v>311</v>
      </c>
      <c r="AF313" s="44">
        <v>155.5</v>
      </c>
      <c r="AG313" s="63" t="s">
        <v>0</v>
      </c>
    </row>
    <row r="314" spans="31:33" ht="39.950000000000003" hidden="1" customHeight="1" x14ac:dyDescent="0.25">
      <c r="AE314" s="39">
        <v>312</v>
      </c>
      <c r="AF314" s="44">
        <v>156</v>
      </c>
      <c r="AG314" s="63" t="s">
        <v>0</v>
      </c>
    </row>
    <row r="315" spans="31:33" ht="39.950000000000003" hidden="1" customHeight="1" x14ac:dyDescent="0.25">
      <c r="AE315" s="39">
        <v>313</v>
      </c>
      <c r="AF315" s="44">
        <v>156.5</v>
      </c>
      <c r="AG315" s="63" t="s">
        <v>0</v>
      </c>
    </row>
    <row r="316" spans="31:33" ht="39.950000000000003" hidden="1" customHeight="1" x14ac:dyDescent="0.25">
      <c r="AE316" s="39">
        <v>314</v>
      </c>
      <c r="AF316" s="44">
        <v>157</v>
      </c>
      <c r="AG316" s="63" t="s">
        <v>0</v>
      </c>
    </row>
    <row r="317" spans="31:33" ht="39.950000000000003" hidden="1" customHeight="1" x14ac:dyDescent="0.25">
      <c r="AE317" s="39">
        <v>315</v>
      </c>
      <c r="AF317" s="44">
        <v>157.5</v>
      </c>
      <c r="AG317" s="63" t="s">
        <v>0</v>
      </c>
    </row>
    <row r="318" spans="31:33" ht="39.950000000000003" hidden="1" customHeight="1" x14ac:dyDescent="0.25">
      <c r="AE318" s="39">
        <v>316</v>
      </c>
      <c r="AF318" s="44">
        <v>158</v>
      </c>
      <c r="AG318" s="63" t="s">
        <v>0</v>
      </c>
    </row>
    <row r="319" spans="31:33" ht="39.950000000000003" hidden="1" customHeight="1" x14ac:dyDescent="0.25">
      <c r="AE319" s="39">
        <v>317</v>
      </c>
      <c r="AF319" s="44">
        <v>158.5</v>
      </c>
      <c r="AG319" s="63" t="s">
        <v>0</v>
      </c>
    </row>
    <row r="320" spans="31:33" ht="39.950000000000003" hidden="1" customHeight="1" x14ac:dyDescent="0.25">
      <c r="AE320" s="39">
        <v>318</v>
      </c>
      <c r="AF320" s="44">
        <v>159</v>
      </c>
      <c r="AG320" s="63" t="s">
        <v>0</v>
      </c>
    </row>
    <row r="321" spans="31:33" ht="39.950000000000003" hidden="1" customHeight="1" x14ac:dyDescent="0.25">
      <c r="AE321" s="39">
        <v>319</v>
      </c>
      <c r="AF321" s="44">
        <v>159.5</v>
      </c>
      <c r="AG321" s="63" t="s">
        <v>0</v>
      </c>
    </row>
    <row r="322" spans="31:33" ht="39.950000000000003" hidden="1" customHeight="1" x14ac:dyDescent="0.25">
      <c r="AE322" s="39">
        <v>320</v>
      </c>
      <c r="AF322" s="44">
        <v>160</v>
      </c>
      <c r="AG322" s="63" t="s">
        <v>0</v>
      </c>
    </row>
    <row r="323" spans="31:33" ht="39.950000000000003" hidden="1" customHeight="1" x14ac:dyDescent="0.25">
      <c r="AE323" s="39">
        <v>321</v>
      </c>
      <c r="AF323" s="44">
        <v>160.5</v>
      </c>
      <c r="AG323" s="63" t="s">
        <v>0</v>
      </c>
    </row>
    <row r="324" spans="31:33" ht="39.950000000000003" hidden="1" customHeight="1" x14ac:dyDescent="0.25">
      <c r="AE324" s="39">
        <v>322</v>
      </c>
      <c r="AF324" s="44">
        <v>161</v>
      </c>
      <c r="AG324" s="63" t="s">
        <v>0</v>
      </c>
    </row>
    <row r="325" spans="31:33" ht="39.950000000000003" hidden="1" customHeight="1" x14ac:dyDescent="0.25">
      <c r="AE325" s="39">
        <v>323</v>
      </c>
      <c r="AF325" s="44">
        <v>161.5</v>
      </c>
      <c r="AG325" s="63" t="s">
        <v>0</v>
      </c>
    </row>
    <row r="326" spans="31:33" ht="39.950000000000003" hidden="1" customHeight="1" x14ac:dyDescent="0.25">
      <c r="AE326" s="39">
        <v>324</v>
      </c>
      <c r="AF326" s="44">
        <v>162</v>
      </c>
      <c r="AG326" s="63" t="s">
        <v>0</v>
      </c>
    </row>
    <row r="327" spans="31:33" ht="39.950000000000003" hidden="1" customHeight="1" x14ac:dyDescent="0.25">
      <c r="AE327" s="39">
        <v>325</v>
      </c>
      <c r="AF327" s="44">
        <v>162.5</v>
      </c>
      <c r="AG327" s="63" t="s">
        <v>0</v>
      </c>
    </row>
    <row r="328" spans="31:33" ht="39.950000000000003" hidden="1" customHeight="1" x14ac:dyDescent="0.25">
      <c r="AE328" s="39">
        <v>326</v>
      </c>
      <c r="AF328" s="44">
        <v>163</v>
      </c>
      <c r="AG328" s="63" t="s">
        <v>0</v>
      </c>
    </row>
    <row r="329" spans="31:33" ht="39.950000000000003" hidden="1" customHeight="1" x14ac:dyDescent="0.25">
      <c r="AE329" s="39">
        <v>327</v>
      </c>
      <c r="AF329" s="44">
        <v>163.5</v>
      </c>
      <c r="AG329" s="63" t="s">
        <v>0</v>
      </c>
    </row>
    <row r="330" spans="31:33" ht="39.950000000000003" hidden="1" customHeight="1" x14ac:dyDescent="0.25">
      <c r="AE330" s="39">
        <v>328</v>
      </c>
      <c r="AF330" s="44">
        <v>164</v>
      </c>
      <c r="AG330" s="63" t="s">
        <v>0</v>
      </c>
    </row>
    <row r="331" spans="31:33" ht="39.950000000000003" hidden="1" customHeight="1" x14ac:dyDescent="0.25">
      <c r="AE331" s="39">
        <v>329</v>
      </c>
      <c r="AF331" s="44">
        <v>164.5</v>
      </c>
      <c r="AG331" s="63" t="s">
        <v>0</v>
      </c>
    </row>
    <row r="332" spans="31:33" ht="39.950000000000003" hidden="1" customHeight="1" x14ac:dyDescent="0.25">
      <c r="AE332" s="39">
        <v>330</v>
      </c>
      <c r="AF332" s="44">
        <v>165</v>
      </c>
      <c r="AG332" s="63" t="s">
        <v>0</v>
      </c>
    </row>
    <row r="333" spans="31:33" ht="39.950000000000003" hidden="1" customHeight="1" x14ac:dyDescent="0.25">
      <c r="AE333" s="39">
        <v>331</v>
      </c>
      <c r="AF333" s="44">
        <v>165.5</v>
      </c>
      <c r="AG333" s="63" t="s">
        <v>0</v>
      </c>
    </row>
    <row r="334" spans="31:33" ht="39.950000000000003" hidden="1" customHeight="1" x14ac:dyDescent="0.25">
      <c r="AE334" s="39">
        <v>332</v>
      </c>
      <c r="AF334" s="44">
        <v>166</v>
      </c>
      <c r="AG334" s="63" t="s">
        <v>0</v>
      </c>
    </row>
    <row r="335" spans="31:33" ht="39.950000000000003" hidden="1" customHeight="1" x14ac:dyDescent="0.25">
      <c r="AE335" s="39">
        <v>333</v>
      </c>
      <c r="AF335" s="44">
        <v>166.5</v>
      </c>
      <c r="AG335" s="63" t="s">
        <v>0</v>
      </c>
    </row>
    <row r="336" spans="31:33" ht="39.950000000000003" hidden="1" customHeight="1" x14ac:dyDescent="0.25">
      <c r="AE336" s="39">
        <v>334</v>
      </c>
      <c r="AF336" s="44">
        <v>167</v>
      </c>
      <c r="AG336" s="63" t="s">
        <v>0</v>
      </c>
    </row>
    <row r="337" spans="31:33" ht="39.950000000000003" hidden="1" customHeight="1" x14ac:dyDescent="0.25">
      <c r="AE337" s="39">
        <v>335</v>
      </c>
      <c r="AF337" s="44">
        <v>167.5</v>
      </c>
      <c r="AG337" s="63" t="s">
        <v>0</v>
      </c>
    </row>
    <row r="338" spans="31:33" ht="39.950000000000003" hidden="1" customHeight="1" x14ac:dyDescent="0.25">
      <c r="AE338" s="39">
        <v>336</v>
      </c>
      <c r="AF338" s="44">
        <v>168</v>
      </c>
      <c r="AG338" s="63" t="s">
        <v>0</v>
      </c>
    </row>
    <row r="339" spans="31:33" ht="39.950000000000003" hidden="1" customHeight="1" x14ac:dyDescent="0.25">
      <c r="AE339" s="39">
        <v>337</v>
      </c>
      <c r="AF339" s="44">
        <v>168.5</v>
      </c>
      <c r="AG339" s="63" t="s">
        <v>0</v>
      </c>
    </row>
    <row r="340" spans="31:33" ht="39.950000000000003" hidden="1" customHeight="1" x14ac:dyDescent="0.25">
      <c r="AE340" s="39">
        <v>338</v>
      </c>
      <c r="AF340" s="44">
        <v>169</v>
      </c>
      <c r="AG340" s="63" t="s">
        <v>0</v>
      </c>
    </row>
    <row r="341" spans="31:33" ht="39.950000000000003" hidden="1" customHeight="1" x14ac:dyDescent="0.25">
      <c r="AE341" s="39">
        <v>339</v>
      </c>
      <c r="AF341" s="44">
        <v>169.5</v>
      </c>
      <c r="AG341" s="63" t="s">
        <v>0</v>
      </c>
    </row>
    <row r="342" spans="31:33" ht="39.950000000000003" hidden="1" customHeight="1" x14ac:dyDescent="0.25">
      <c r="AE342" s="39">
        <v>340</v>
      </c>
      <c r="AF342" s="44">
        <v>170</v>
      </c>
      <c r="AG342" s="63" t="s">
        <v>0</v>
      </c>
    </row>
    <row r="343" spans="31:33" ht="39.950000000000003" hidden="1" customHeight="1" x14ac:dyDescent="0.25">
      <c r="AE343" s="39">
        <v>341</v>
      </c>
      <c r="AF343" s="44">
        <v>170.5</v>
      </c>
      <c r="AG343" s="63" t="s">
        <v>0</v>
      </c>
    </row>
    <row r="344" spans="31:33" ht="39.950000000000003" hidden="1" customHeight="1" x14ac:dyDescent="0.25">
      <c r="AE344" s="39">
        <v>342</v>
      </c>
      <c r="AF344" s="44">
        <v>171</v>
      </c>
      <c r="AG344" s="63" t="s">
        <v>0</v>
      </c>
    </row>
    <row r="345" spans="31:33" ht="39.950000000000003" hidden="1" customHeight="1" x14ac:dyDescent="0.25">
      <c r="AE345" s="39">
        <v>343</v>
      </c>
      <c r="AF345" s="44">
        <v>171.5</v>
      </c>
      <c r="AG345" s="63" t="s">
        <v>0</v>
      </c>
    </row>
    <row r="346" spans="31:33" ht="39.950000000000003" hidden="1" customHeight="1" x14ac:dyDescent="0.25">
      <c r="AE346" s="39">
        <v>344</v>
      </c>
      <c r="AF346" s="44">
        <v>172</v>
      </c>
      <c r="AG346" s="63" t="s">
        <v>0</v>
      </c>
    </row>
    <row r="347" spans="31:33" ht="39.950000000000003" hidden="1" customHeight="1" x14ac:dyDescent="0.25">
      <c r="AE347" s="39">
        <v>345</v>
      </c>
      <c r="AF347" s="44">
        <v>172.5</v>
      </c>
      <c r="AG347" s="63" t="s">
        <v>0</v>
      </c>
    </row>
    <row r="348" spans="31:33" ht="39.950000000000003" hidden="1" customHeight="1" x14ac:dyDescent="0.25">
      <c r="AE348" s="39">
        <v>346</v>
      </c>
      <c r="AF348" s="44">
        <v>173</v>
      </c>
      <c r="AG348" s="63" t="s">
        <v>0</v>
      </c>
    </row>
    <row r="349" spans="31:33" ht="39.950000000000003" hidden="1" customHeight="1" x14ac:dyDescent="0.25">
      <c r="AE349" s="39">
        <v>347</v>
      </c>
      <c r="AF349" s="44">
        <v>173.5</v>
      </c>
      <c r="AG349" s="63" t="s">
        <v>0</v>
      </c>
    </row>
    <row r="350" spans="31:33" ht="39.950000000000003" hidden="1" customHeight="1" x14ac:dyDescent="0.25">
      <c r="AE350" s="39">
        <v>348</v>
      </c>
      <c r="AF350" s="44">
        <v>174</v>
      </c>
      <c r="AG350" s="63" t="s">
        <v>0</v>
      </c>
    </row>
    <row r="351" spans="31:33" ht="39.950000000000003" hidden="1" customHeight="1" x14ac:dyDescent="0.25">
      <c r="AE351" s="39">
        <v>349</v>
      </c>
      <c r="AF351" s="44">
        <v>174.5</v>
      </c>
      <c r="AG351" s="63" t="s">
        <v>0</v>
      </c>
    </row>
    <row r="352" spans="31:33" ht="39.950000000000003" hidden="1" customHeight="1" x14ac:dyDescent="0.25">
      <c r="AE352" s="39">
        <v>350</v>
      </c>
      <c r="AF352" s="44">
        <v>175</v>
      </c>
      <c r="AG352" s="63" t="s">
        <v>0</v>
      </c>
    </row>
    <row r="353" spans="31:33" ht="39.950000000000003" hidden="1" customHeight="1" x14ac:dyDescent="0.25">
      <c r="AE353" s="39">
        <v>351</v>
      </c>
      <c r="AF353" s="44">
        <v>175.5</v>
      </c>
      <c r="AG353" s="63" t="s">
        <v>0</v>
      </c>
    </row>
    <row r="354" spans="31:33" ht="39.950000000000003" hidden="1" customHeight="1" x14ac:dyDescent="0.25">
      <c r="AE354" s="39">
        <v>352</v>
      </c>
      <c r="AF354" s="44">
        <v>176</v>
      </c>
      <c r="AG354" s="63" t="s">
        <v>0</v>
      </c>
    </row>
    <row r="355" spans="31:33" ht="39.950000000000003" hidden="1" customHeight="1" x14ac:dyDescent="0.25">
      <c r="AE355" s="39">
        <v>353</v>
      </c>
      <c r="AF355" s="44">
        <v>176.5</v>
      </c>
      <c r="AG355" s="63" t="s">
        <v>0</v>
      </c>
    </row>
    <row r="356" spans="31:33" ht="39.950000000000003" hidden="1" customHeight="1" x14ac:dyDescent="0.25">
      <c r="AE356" s="39">
        <v>354</v>
      </c>
      <c r="AF356" s="44">
        <v>177</v>
      </c>
      <c r="AG356" s="63" t="s">
        <v>0</v>
      </c>
    </row>
    <row r="357" spans="31:33" ht="39.950000000000003" hidden="1" customHeight="1" x14ac:dyDescent="0.25">
      <c r="AE357" s="39">
        <v>355</v>
      </c>
      <c r="AF357" s="44">
        <v>177.5</v>
      </c>
      <c r="AG357" s="63" t="s">
        <v>0</v>
      </c>
    </row>
    <row r="358" spans="31:33" ht="39.950000000000003" hidden="1" customHeight="1" x14ac:dyDescent="0.25">
      <c r="AE358" s="39">
        <v>356</v>
      </c>
      <c r="AF358" s="44">
        <v>178</v>
      </c>
      <c r="AG358" s="63" t="s">
        <v>0</v>
      </c>
    </row>
    <row r="359" spans="31:33" ht="39.950000000000003" hidden="1" customHeight="1" x14ac:dyDescent="0.25">
      <c r="AE359" s="39">
        <v>357</v>
      </c>
      <c r="AF359" s="44">
        <v>178.5</v>
      </c>
      <c r="AG359" s="63" t="s">
        <v>0</v>
      </c>
    </row>
    <row r="360" spans="31:33" ht="39.950000000000003" hidden="1" customHeight="1" x14ac:dyDescent="0.25">
      <c r="AE360" s="39">
        <v>358</v>
      </c>
      <c r="AF360" s="44">
        <v>179</v>
      </c>
      <c r="AG360" s="63" t="s">
        <v>0</v>
      </c>
    </row>
    <row r="361" spans="31:33" ht="39.950000000000003" hidden="1" customHeight="1" x14ac:dyDescent="0.25">
      <c r="AE361" s="39">
        <v>359</v>
      </c>
      <c r="AF361" s="44">
        <v>179.5</v>
      </c>
      <c r="AG361" s="63" t="s">
        <v>0</v>
      </c>
    </row>
    <row r="362" spans="31:33" ht="39.950000000000003" hidden="1" customHeight="1" x14ac:dyDescent="0.25">
      <c r="AE362" s="39">
        <v>360</v>
      </c>
      <c r="AF362" s="44">
        <v>180</v>
      </c>
      <c r="AG362" s="63" t="s">
        <v>0</v>
      </c>
    </row>
    <row r="363" spans="31:33" ht="9.9499999999999993" hidden="1" customHeight="1" x14ac:dyDescent="0.25"/>
  </sheetData>
  <sheetProtection algorithmName="SHA-512" hashValue="QPZh4lizGu0gysRHmUsfz2CXjomnr21rBPlNY/2TlaT1lE9DbhqpblUJuq6C/zqfrhKdiLzZUKhMNVO11oi8Ow==" saltValue="OkCrkpDN2jx7bMBJxHaqbw==" spinCount="100000" sheet="1" objects="1" scenarios="1" selectLockedCells="1"/>
  <mergeCells count="31">
    <mergeCell ref="W1:W28"/>
    <mergeCell ref="J1:J14"/>
    <mergeCell ref="P1:P14"/>
    <mergeCell ref="X2:X27"/>
    <mergeCell ref="Z2:Z27"/>
    <mergeCell ref="Y2:Y27"/>
    <mergeCell ref="X1:Z1"/>
    <mergeCell ref="Q1:Q14"/>
    <mergeCell ref="U1:U28"/>
    <mergeCell ref="X28:Z28"/>
    <mergeCell ref="R1:R14"/>
    <mergeCell ref="V1:V28"/>
    <mergeCell ref="H1:H14"/>
    <mergeCell ref="A28:B28"/>
    <mergeCell ref="D1:D14"/>
    <mergeCell ref="I1:I14"/>
    <mergeCell ref="A27:B27"/>
    <mergeCell ref="C1:C14"/>
    <mergeCell ref="A1:A14"/>
    <mergeCell ref="B1:B14"/>
    <mergeCell ref="G1:G14"/>
    <mergeCell ref="F1:F14"/>
    <mergeCell ref="E1:E14"/>
    <mergeCell ref="AA1:AA28"/>
    <mergeCell ref="N1:N14"/>
    <mergeCell ref="L1:L14"/>
    <mergeCell ref="M1:M14"/>
    <mergeCell ref="O1:O14"/>
    <mergeCell ref="T1:T14"/>
    <mergeCell ref="S1:S14"/>
    <mergeCell ref="K1:K14"/>
  </mergeCells>
  <phoneticPr fontId="4" type="noConversion"/>
  <dataValidations count="10">
    <dataValidation type="list" allowBlank="1" showInputMessage="1" showErrorMessage="1" sqref="BE15:BE26 K15:K26" xr:uid="{00000000-0002-0000-0000-00001D000000}">
      <formula1>"Yok, Var"</formula1>
    </dataValidation>
    <dataValidation type="list" allowBlank="1" showInputMessage="1" showErrorMessage="1" sqref="Q15:T26" xr:uid="{A0985463-2FAB-4EF0-B4EE-095EC77469C0}">
      <formula1>$AG$2:$AG$50</formula1>
    </dataValidation>
    <dataValidation type="list" allowBlank="1" showInputMessage="1" showErrorMessage="1" sqref="U1:U28" xr:uid="{9054E20C-415A-4A28-9A83-E6387959DADB}">
      <formula1>"Ocak, Şubat, Mart, Nisan, Mayıs, Haziran, Temmuz, Ağustos, Eylül, Ekim, Kasım, Aralık, Yıllık Toplam, Yıllık Ortalama"</formula1>
    </dataValidation>
    <dataValidation type="list" allowBlank="1" showInputMessage="1" showErrorMessage="1" sqref="AQ18" xr:uid="{E78907BA-7A5C-4BC5-9626-30F7C79A3DA3}">
      <formula1>#REF!</formula1>
    </dataValidation>
    <dataValidation type="list" allowBlank="1" showInputMessage="1" showErrorMessage="1" sqref="D15:F26" xr:uid="{D16C9647-72F6-4D86-BCEE-3739AC9AC5F3}">
      <formula1>$AF$2:$AF$362</formula1>
    </dataValidation>
    <dataValidation type="list" allowBlank="1" showInputMessage="1" showErrorMessage="1" sqref="AX1:AX12 G15:J26 C15:C26" xr:uid="{65FACC1D-9377-4225-8D3E-97700607B264}">
      <formula1>$AE$2:$AE$362</formula1>
    </dataValidation>
    <dataValidation type="list" allowBlank="1" showInputMessage="1" showErrorMessage="1" sqref="L15:O26" xr:uid="{B6852485-2543-480E-B5B2-6639B75E91B7}">
      <formula1>$AE$2:$AE$7</formula1>
    </dataValidation>
    <dataValidation type="list" allowBlank="1" showInputMessage="1" showErrorMessage="1" sqref="A1:A14" xr:uid="{7595A2F3-643E-4527-990F-E626BE3C92E8}">
      <formula1>$AH$1:$AH$26</formula1>
    </dataValidation>
    <dataValidation type="list" allowBlank="1" showInputMessage="1" showErrorMessage="1" sqref="W1:W28" xr:uid="{57F3B8BA-6A3B-4A6A-8D00-B4AF9170A6FC}">
      <formula1>$AC$23:$AC$39</formula1>
    </dataValidation>
    <dataValidation type="list" allowBlank="1" showInputMessage="1" showErrorMessage="1" sqref="BE1:BF12 P15:P26" xr:uid="{18953C52-DF9F-44F2-99DD-1EB4A051871D}">
      <formula1>$AI$28:$AI$33</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X</cp:lastModifiedBy>
  <cp:lastPrinted>2021-01-27T16:23:43Z</cp:lastPrinted>
  <dcterms:created xsi:type="dcterms:W3CDTF">2015-06-05T18:19:34Z</dcterms:created>
  <dcterms:modified xsi:type="dcterms:W3CDTF">2023-01-21T15:12:06Z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